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Upload ลง Web Codi\รายงาน\ปีงบประมาณ 2563\"/>
    </mc:Choice>
  </mc:AlternateContent>
  <xr:revisionPtr revIDLastSave="0" documentId="13_ncr:1_{CB33318B-0135-4F89-8727-E1B946A01C8D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" i="1" l="1"/>
  <c r="BT6" i="2"/>
  <c r="BT7" i="2"/>
  <c r="BG12" i="2" l="1"/>
  <c r="BG11" i="2"/>
  <c r="CG8" i="2"/>
  <c r="CC8" i="2"/>
  <c r="CA8" i="2"/>
  <c r="BY8" i="2"/>
  <c r="BX8" i="2"/>
  <c r="BW8" i="2"/>
  <c r="BV8" i="2"/>
  <c r="BU8" i="2"/>
  <c r="BT8" i="2"/>
  <c r="BQ8" i="2"/>
  <c r="BP8" i="2"/>
  <c r="BO8" i="2"/>
  <c r="BN8" i="2"/>
  <c r="BM8" i="2"/>
  <c r="BL8" i="2"/>
  <c r="BK8" i="2"/>
  <c r="BJ8" i="2"/>
  <c r="BI8" i="2"/>
  <c r="BH8" i="2"/>
  <c r="BG8" i="2"/>
  <c r="BE8" i="2"/>
  <c r="BD8" i="2"/>
  <c r="BC8" i="2"/>
  <c r="BA8" i="2"/>
  <c r="AZ8" i="2"/>
  <c r="AY8" i="2"/>
  <c r="AX8" i="2"/>
  <c r="AW8" i="2"/>
  <c r="AV8" i="2"/>
  <c r="AT8" i="2"/>
  <c r="AS8" i="2"/>
  <c r="CE8" i="2"/>
  <c r="CD8" i="2"/>
  <c r="CF7" i="2"/>
  <c r="BS7" i="2"/>
  <c r="BF7" i="2"/>
  <c r="BB8" i="2"/>
  <c r="CF6" i="2"/>
  <c r="BR8" i="2"/>
  <c r="BF6" i="2"/>
  <c r="CF5" i="2"/>
  <c r="CB8" i="2"/>
  <c r="BZ8" i="2"/>
  <c r="BS5" i="2"/>
  <c r="BF5" i="2"/>
  <c r="CI7" i="2" l="1"/>
  <c r="CF8" i="2"/>
  <c r="BF11" i="2" s="1"/>
  <c r="BT11" i="2" s="1"/>
  <c r="BS8" i="2"/>
  <c r="CH7" i="2"/>
  <c r="BF8" i="2"/>
  <c r="CH5" i="2"/>
  <c r="AU8" i="2"/>
  <c r="CI5" i="2"/>
  <c r="BS6" i="2"/>
  <c r="CI6" i="2" s="1"/>
  <c r="E20" i="1"/>
  <c r="CH8" i="2" l="1"/>
  <c r="CH6" i="2"/>
  <c r="CI8" i="2"/>
  <c r="F20" i="1"/>
  <c r="BF12" i="2" l="1"/>
  <c r="BT12" i="2" s="1"/>
  <c r="AA6" i="2"/>
  <c r="AN6" i="2"/>
  <c r="AN7" i="2"/>
  <c r="AN5" i="2"/>
  <c r="N7" i="2"/>
  <c r="E32" i="1"/>
  <c r="J16" i="1" l="1"/>
  <c r="L29" i="1" l="1"/>
  <c r="L30" i="1"/>
  <c r="H23" i="1" l="1"/>
  <c r="H22" i="1"/>
  <c r="L23" i="1" l="1"/>
  <c r="L24" i="1"/>
  <c r="L26" i="1"/>
  <c r="AM7" i="2" l="1"/>
  <c r="K7" i="2"/>
  <c r="G32" i="1" l="1"/>
  <c r="L34" i="1" l="1"/>
  <c r="L35" i="1"/>
  <c r="L36" i="1"/>
  <c r="L37" i="1"/>
  <c r="L38" i="1"/>
  <c r="H9" i="1" l="1"/>
  <c r="F13" i="1" l="1"/>
  <c r="D7" i="2"/>
  <c r="AH7" i="2"/>
  <c r="D31" i="1"/>
  <c r="D29" i="1" s="1"/>
  <c r="AK5" i="2" l="1"/>
  <c r="I31" i="1"/>
  <c r="H31" i="1"/>
  <c r="L31" i="1" s="1"/>
  <c r="I25" i="1" l="1"/>
  <c r="H25" i="1"/>
  <c r="L25" i="1" s="1"/>
  <c r="D25" i="1"/>
  <c r="J41" i="1" l="1"/>
  <c r="E41" i="1"/>
  <c r="F41" i="1"/>
  <c r="G41" i="1"/>
  <c r="D30" i="1" l="1"/>
  <c r="D27" i="1" s="1"/>
  <c r="D24" i="1"/>
  <c r="D21" i="1" s="1"/>
  <c r="I27" i="1"/>
  <c r="H27" i="1"/>
  <c r="N27" i="1" l="1"/>
  <c r="O27" i="1"/>
  <c r="L28" i="1"/>
  <c r="L27" i="1" s="1"/>
  <c r="J17" i="1"/>
  <c r="J14" i="1"/>
  <c r="J20" i="1" s="1"/>
  <c r="L39" i="1" l="1"/>
  <c r="L33" i="1"/>
  <c r="I32" i="1"/>
  <c r="D32" i="1"/>
  <c r="D39" i="1"/>
  <c r="I40" i="1"/>
  <c r="H40" i="1"/>
  <c r="H32" i="1" s="1"/>
  <c r="O32" i="1" l="1"/>
  <c r="N32" i="1"/>
  <c r="L32" i="1"/>
  <c r="D41" i="1"/>
  <c r="C41" i="1"/>
  <c r="I21" i="1" l="1"/>
  <c r="O21" i="1" s="1"/>
  <c r="I41" i="1" l="1"/>
  <c r="K41" i="1" s="1"/>
  <c r="AP5" i="2"/>
  <c r="AI5" i="2"/>
  <c r="O41" i="1" l="1"/>
  <c r="AI6" i="2"/>
  <c r="H12" i="1" l="1"/>
  <c r="H11" i="1"/>
  <c r="H8" i="1"/>
  <c r="H7" i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L15" i="1" l="1"/>
  <c r="L16" i="1"/>
  <c r="L18" i="1"/>
  <c r="L19" i="1"/>
  <c r="L8" i="1"/>
  <c r="L9" i="1"/>
  <c r="L12" i="1"/>
  <c r="J42" i="1"/>
  <c r="L40" i="1" l="1"/>
  <c r="E8" i="2" l="1"/>
  <c r="F8" i="2"/>
  <c r="G8" i="2"/>
  <c r="H8" i="2"/>
  <c r="I8" i="2"/>
  <c r="J8" i="2"/>
  <c r="K8" i="2"/>
  <c r="L8" i="2"/>
  <c r="M8" i="2"/>
  <c r="N8" i="2"/>
  <c r="C8" i="2"/>
  <c r="O7" i="2"/>
  <c r="D6" i="2"/>
  <c r="O6" i="2" s="1"/>
  <c r="O8" i="2" l="1"/>
  <c r="D8" i="2"/>
  <c r="AO6" i="2" l="1"/>
  <c r="AO7" i="2"/>
  <c r="AQ7" i="2" s="1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6" i="2"/>
  <c r="AR6" i="2"/>
  <c r="AO8" i="2"/>
  <c r="B8" i="2"/>
  <c r="AR8" i="2" l="1"/>
  <c r="O12" i="2" s="1"/>
  <c r="AC12" i="2" s="1"/>
  <c r="AQ8" i="2"/>
  <c r="O11" i="2"/>
  <c r="AC11" i="2" s="1"/>
  <c r="AN8" i="2"/>
  <c r="E13" i="1" l="1"/>
  <c r="L11" i="1" l="1"/>
  <c r="L7" i="1"/>
  <c r="L22" i="1" l="1"/>
  <c r="H21" i="1"/>
  <c r="E42" i="1"/>
  <c r="C42" i="1"/>
  <c r="I14" i="1"/>
  <c r="I17" i="1"/>
  <c r="H17" i="1"/>
  <c r="L17" i="1" s="1"/>
  <c r="D17" i="1"/>
  <c r="H14" i="1"/>
  <c r="D14" i="1"/>
  <c r="G20" i="1"/>
  <c r="H41" i="1" l="1"/>
  <c r="M41" i="1" s="1"/>
  <c r="N21" i="1"/>
  <c r="L41" i="1"/>
  <c r="L21" i="1"/>
  <c r="I20" i="1"/>
  <c r="L14" i="1"/>
  <c r="H20" i="1"/>
  <c r="D20" i="1"/>
  <c r="H6" i="1"/>
  <c r="H13" i="1" s="1"/>
  <c r="I6" i="1"/>
  <c r="I10" i="1"/>
  <c r="H10" i="1"/>
  <c r="N41" i="1" l="1"/>
  <c r="I13" i="1"/>
  <c r="K20" i="1"/>
  <c r="M20" i="1" s="1"/>
  <c r="O20" i="1"/>
  <c r="L6" i="1"/>
  <c r="L10" i="1"/>
  <c r="N20" i="1"/>
  <c r="G13" i="1"/>
  <c r="F42" i="1"/>
  <c r="D42" i="1"/>
  <c r="O13" i="1"/>
  <c r="L20" i="1" l="1"/>
  <c r="O42" i="1"/>
  <c r="K13" i="1"/>
  <c r="L13" i="1" s="1"/>
  <c r="G42" i="1"/>
  <c r="I42" i="1"/>
  <c r="N13" i="1"/>
  <c r="N42" i="1" s="1"/>
  <c r="H42" i="1"/>
  <c r="L42" i="1" l="1"/>
  <c r="AO11" i="2" s="1"/>
  <c r="M13" i="1"/>
  <c r="K42" i="1"/>
  <c r="M4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tc={926571A8-ECAD-4E8D-A2CB-973D2C4D6E6C}</author>
  </authors>
  <commentList>
    <comment ref="J16" authorId="0" shapeId="0" xr:uid="{926571A8-ECAD-4E8D-A2CB-973D2C4D6E6C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25,700.- ดังนี้
-ลาดพร้าวร่วมใจ : 12,500.-
-สนามมวย ทอ. : 25,000.-
-เรียกเงินคืนค่าพวงหรีด : 700.-
-พหลโยธิน 32 : 10,000.-</t>
      </text>
    </comment>
  </commentList>
</comments>
</file>

<file path=xl/sharedStrings.xml><?xml version="1.0" encoding="utf-8"?>
<sst xmlns="http://schemas.openxmlformats.org/spreadsheetml/2006/main" count="176" uniqueCount="92">
  <si>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</si>
  <si>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</si>
  <si>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</si>
  <si>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</si>
  <si>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</si>
  <si>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</si>
  <si>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</si>
  <si>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</si>
  <si>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</si>
  <si>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</si>
  <si>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</si>
  <si>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</si>
  <si>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</si>
  <si>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</si>
  <si>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</si>
  <si>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</si>
  <si>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</si>
  <si>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</si>
  <si>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</si>
  <si>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</si>
  <si>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</si>
  <si>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</si>
  <si>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</si>
  <si>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</si>
  <si>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</si>
  <si>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</si>
  <si>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</si>
  <si>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</si>
  <si>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ค่าสนับสนุนกลไกติดตามประเมินผล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</si>
  <si>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</si>
  <si>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</si>
  <si>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</si>
  <si>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</si>
  <si>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</si>
  <si>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</si>
  <si>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</si>
  <si>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</si>
  <si>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</si>
  <si>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</si>
  <si>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</si>
  <si>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</si>
  <si>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</si>
  <si>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</si>
  <si>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</si>
  <si>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</si>
  <si>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</si>
  <si>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</si>
  <si>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</si>
  <si>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</si>
  <si>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</si>
  <si>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</si>
  <si>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</si>
  <si>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</si>
  <si>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</si>
  <si>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</si>
  <si>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</si>
  <si>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</si>
  <si>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</si>
  <si>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</si>
  <si>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</si>
  <si>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</si>
  <si>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</si>
  <si>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</si>
  <si>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</si>
  <si>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</si>
  <si>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</si>
  <si>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</si>
  <si>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คืนงบประมาณระหว่างปี</t>
  </si>
  <si>
    <t>รับคืนเงินจากชุมชน</t>
  </si>
  <si>
    <t>ร้อยละเบิกจ่าย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</si>
  <si>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</si>
  <si>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</si>
  <si>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</si>
  <si>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</si>
  <si>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</si>
  <si>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งบประมาณปี 2557-2559 ดำเนินการปี 2560 และ 2562 (งบบ้านมั่นคง)</t>
  </si>
  <si>
    <t>งบบริหารจัดการ (เครือข่าย/ศปก.ทชค.)</t>
  </si>
  <si>
    <t>งบบริหารจัดการ (สผ.ส่วนกลาง/ชุมชน)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</si>
  <si>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</si>
  <si>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</si>
  <si>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</si>
  <si>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</si>
  <si>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ค่าบริหารจัดการ สผ.</t>
  </si>
  <si>
    <t>ค่าเช่าบ้านเพิ่มเติม</t>
  </si>
  <si>
    <t>ภาพรวมผลการเบิกจ่ายรายเดือน ณ วันที่ 31 ตุลาคม 2562</t>
  </si>
  <si>
    <t>ณ วันที่ 31 ตุลาคม 2562 มีการเบิกจ่ายงบประมาณรวม</t>
  </si>
  <si>
    <t>ณ 30 ก.ย. 62</t>
  </si>
  <si>
    <t>คงเหลือยกไป
เบิกจ่ายปี 2563</t>
  </si>
  <si>
    <t>ดำเนินการปีงบประมาณ พ.ศ. 2563</t>
  </si>
  <si>
    <t>งบประมาณปี 2560 ดำเนินการปี 2560 - 2563</t>
  </si>
  <si>
    <t>งบประมาณปี 2561 ดำเนินการปี 2561 - 2563</t>
  </si>
  <si>
    <t>ประจำเดือนตุลาคม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</si>
</sst>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9" borderId="11" xfId="0" applyFont="1" applyFill="1" applyBorder="1" applyAlignment="1">
      <alignment horizontal="left" indent="1"/>
    </xf>
    <xf numFmtId="166" fontId="2" fillId="39" borderId="11" xfId="1" applyNumberFormat="1" applyFont="1" applyFill="1" applyBorder="1"/>
    <xf numFmtId="43" fontId="2" fillId="39" borderId="0" xfId="0" applyNumberFormat="1" applyFont="1" applyFill="1"/>
    <xf numFmtId="43" fontId="2" fillId="39" borderId="11" xfId="1" applyFont="1" applyFill="1" applyBorder="1"/>
    <xf numFmtId="0" fontId="2" fillId="39" borderId="11" xfId="0" applyFont="1" applyFill="1" applyBorder="1"/>
    <xf numFmtId="43" fontId="3" fillId="33" borderId="11" xfId="1" applyFont="1" applyFill="1" applyBorder="1" applyAlignment="1">
      <alignment horizontal="center" vertical="center"/>
    </xf>
    <xf numFmtId="166" fontId="3" fillId="40" borderId="11" xfId="1" applyNumberFormat="1" applyFont="1" applyFill="1" applyBorder="1"/>
    <xf numFmtId="43" fontId="3" fillId="40" borderId="11" xfId="1" applyFont="1" applyFill="1" applyBorder="1"/>
    <xf numFmtId="43" fontId="3" fillId="34" borderId="11" xfId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50254115-CD56-4B11-ADFA-B7825DE1E7BF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926571A8-ECAD-4E8D-A2CB-973D2C4D6E6C}">
    <text>รับเงินคืน 25,700.- ดังนี้
-ลาดพร้าวร่วมใจ : 12,500.-
-สนามมวย ทอ. : 25,000.-
-เรียกเงินคืนค่าพวงหรีด : 700.-
-พหลโยธิน 32 : 10,000.-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5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G48" sqref="G48"/>
    </sheetView>
  </sheetViews>
  <sheetFormatPr defaultColWidth="8.88671875" defaultRowHeight="24.6" outlineLevelRow="1"/>
  <cols>
    <col min="1" max="1" width="13.44140625" style="1" customWidth="1"/>
    <col min="2" max="2" width="38.44140625" style="1" customWidth="1"/>
    <col min="3" max="3" width="10.109375" style="3" customWidth="1"/>
    <col min="4" max="4" width="20.33203125" style="2" customWidth="1"/>
    <col min="5" max="7" width="8.44140625" style="3" bestFit="1" customWidth="1"/>
    <col min="8" max="8" width="18.44140625" style="2" bestFit="1" customWidth="1"/>
    <col min="9" max="9" width="18.6640625" style="2" customWidth="1"/>
    <col min="10" max="10" width="17.44140625" style="2" customWidth="1"/>
    <col min="11" max="12" width="18.44140625" style="2" bestFit="1" customWidth="1"/>
    <col min="13" max="13" width="11.33203125" style="1" customWidth="1"/>
    <col min="14" max="15" width="18.33203125" style="2" customWidth="1"/>
    <col min="16" max="16" width="18.44140625" style="1" bestFit="1" customWidth="1"/>
    <col min="17" max="17" width="17.6640625" style="1" bestFit="1" customWidth="1"/>
    <col min="18" max="18" width="14" style="2" bestFit="1" customWidth="1"/>
    <col min="19" max="19" width="12.33203125" style="1" bestFit="1" customWidth="1"/>
    <col min="20" max="20" width="14.6640625" style="1" bestFit="1" customWidth="1"/>
    <col min="21" max="16384" width="8.88671875" style="1"/>
  </cols>
  <sheetData>
    <row r="1" spans="1:20" ht="27">
      <c r="A1" s="85" t="s">
        <v>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</row>
    <row r="2" spans="1:20" ht="27">
      <c r="A2" s="66" t="s">
        <v>91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20" s="4" customFormat="1" ht="18.600000000000001" customHeight="1">
      <c r="A3" s="74" t="s">
        <v>74</v>
      </c>
      <c r="B3" s="73" t="s">
        <v>1</v>
      </c>
      <c r="C3" s="83" t="s">
        <v>11</v>
      </c>
      <c r="D3" s="84"/>
      <c r="E3" s="76" t="s">
        <v>12</v>
      </c>
      <c r="F3" s="76"/>
      <c r="G3" s="76"/>
      <c r="H3" s="76"/>
      <c r="I3" s="67" t="s">
        <v>17</v>
      </c>
      <c r="J3" s="67" t="s">
        <v>16</v>
      </c>
      <c r="K3" s="86" t="s">
        <v>64</v>
      </c>
      <c r="L3" s="86" t="s">
        <v>65</v>
      </c>
      <c r="M3" s="74" t="s">
        <v>18</v>
      </c>
      <c r="N3" s="67" t="s">
        <v>27</v>
      </c>
      <c r="O3" s="67" t="s">
        <v>30</v>
      </c>
      <c r="R3" s="49"/>
    </row>
    <row r="4" spans="1:20" s="4" customFormat="1">
      <c r="A4" s="73"/>
      <c r="B4" s="73"/>
      <c r="C4" s="76" t="s">
        <v>9</v>
      </c>
      <c r="D4" s="75" t="s">
        <v>10</v>
      </c>
      <c r="E4" s="76" t="s">
        <v>9</v>
      </c>
      <c r="F4" s="76"/>
      <c r="G4" s="76"/>
      <c r="H4" s="67" t="s">
        <v>19</v>
      </c>
      <c r="I4" s="75"/>
      <c r="J4" s="75"/>
      <c r="K4" s="87"/>
      <c r="L4" s="87"/>
      <c r="M4" s="74"/>
      <c r="N4" s="67"/>
      <c r="O4" s="67"/>
      <c r="R4" s="49"/>
    </row>
    <row r="5" spans="1:20" s="4" customFormat="1">
      <c r="A5" s="73"/>
      <c r="B5" s="73"/>
      <c r="C5" s="76"/>
      <c r="D5" s="75"/>
      <c r="E5" s="7" t="s">
        <v>13</v>
      </c>
      <c r="F5" s="7" t="s">
        <v>14</v>
      </c>
      <c r="G5" s="7" t="s">
        <v>15</v>
      </c>
      <c r="H5" s="75"/>
      <c r="I5" s="75"/>
      <c r="J5" s="75"/>
      <c r="K5" s="88"/>
      <c r="L5" s="88"/>
      <c r="M5" s="74"/>
      <c r="N5" s="67"/>
      <c r="O5" s="67"/>
      <c r="R5" s="49"/>
    </row>
    <row r="6" spans="1:20" s="5" customFormat="1">
      <c r="A6" s="89">
        <v>2559</v>
      </c>
      <c r="B6" s="8" t="s">
        <v>0</v>
      </c>
      <c r="C6" s="9"/>
      <c r="D6" s="10"/>
      <c r="E6" s="9"/>
      <c r="F6" s="9"/>
      <c r="G6" s="9"/>
      <c r="H6" s="10">
        <f>SUM(H7:H9)</f>
        <v>64182200</v>
      </c>
      <c r="I6" s="10">
        <f t="shared" ref="I6" si="0">SUM(I7:I9)</f>
        <v>101711408</v>
      </c>
      <c r="J6" s="77" t="s">
        <v>66</v>
      </c>
      <c r="K6" s="78"/>
      <c r="L6" s="10">
        <f>SUM(H6-I6)</f>
        <v>-37529208</v>
      </c>
      <c r="M6" s="8"/>
      <c r="N6" s="10"/>
      <c r="O6" s="10"/>
      <c r="R6" s="50"/>
    </row>
    <row r="7" spans="1:20" ht="24.6" customHeight="1" outlineLevel="1">
      <c r="A7" s="90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66922858</v>
      </c>
      <c r="J7" s="79"/>
      <c r="K7" s="80"/>
      <c r="L7" s="52">
        <f t="shared" ref="L7:L12" si="1">SUM(H7-I7)</f>
        <v>-24934658</v>
      </c>
      <c r="M7" s="14"/>
      <c r="N7" s="13"/>
      <c r="O7" s="13"/>
    </row>
    <row r="8" spans="1:20" ht="24.6" customHeight="1" outlineLevel="1">
      <c r="A8" s="90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32385000</v>
      </c>
      <c r="J8" s="79"/>
      <c r="K8" s="80"/>
      <c r="L8" s="52">
        <f t="shared" si="1"/>
        <v>-11985000</v>
      </c>
      <c r="M8" s="14"/>
      <c r="N8" s="13"/>
      <c r="O8" s="13"/>
    </row>
    <row r="9" spans="1:20" ht="24.6" customHeight="1" outlineLevel="1">
      <c r="A9" s="90"/>
      <c r="B9" s="11" t="s">
        <v>4</v>
      </c>
      <c r="C9" s="12"/>
      <c r="D9" s="13"/>
      <c r="E9" s="12"/>
      <c r="F9" s="12"/>
      <c r="G9" s="12"/>
      <c r="H9" s="13">
        <f>7677000-5868000-15000</f>
        <v>1794000</v>
      </c>
      <c r="I9" s="13">
        <v>2403550</v>
      </c>
      <c r="J9" s="79"/>
      <c r="K9" s="80"/>
      <c r="L9" s="52">
        <f t="shared" si="1"/>
        <v>-609550</v>
      </c>
      <c r="M9" s="14"/>
      <c r="N9" s="13"/>
      <c r="O9" s="13"/>
      <c r="Q9" s="33"/>
    </row>
    <row r="10" spans="1:20" s="6" customFormat="1">
      <c r="A10" s="90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79"/>
      <c r="K10" s="80"/>
      <c r="L10" s="10">
        <f t="shared" si="1"/>
        <v>-6902869</v>
      </c>
      <c r="M10" s="15"/>
      <c r="N10" s="17"/>
      <c r="O10" s="17"/>
      <c r="R10" s="51"/>
    </row>
    <row r="11" spans="1:20" ht="24.6" customHeight="1" outlineLevel="1">
      <c r="A11" s="90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79"/>
      <c r="K11" s="80"/>
      <c r="L11" s="52">
        <f t="shared" si="1"/>
        <v>-14760000</v>
      </c>
      <c r="M11" s="14"/>
      <c r="N11" s="13"/>
      <c r="O11" s="13"/>
    </row>
    <row r="12" spans="1:20" ht="24.6" customHeight="1" outlineLevel="1">
      <c r="A12" s="90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81"/>
      <c r="K12" s="82"/>
      <c r="L12" s="52">
        <f t="shared" si="1"/>
        <v>7857131</v>
      </c>
      <c r="M12" s="14"/>
      <c r="N12" s="13"/>
      <c r="O12" s="13"/>
    </row>
    <row r="13" spans="1:20" s="6" customFormat="1" ht="26.4">
      <c r="A13" s="91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180069060.96000001</v>
      </c>
      <c r="I13" s="24">
        <f>+I6+I10</f>
        <v>224501137.96000001</v>
      </c>
      <c r="J13" s="24">
        <f>36264158+225000</f>
        <v>36489158</v>
      </c>
      <c r="K13" s="24">
        <f>+I13-J13</f>
        <v>188011979.96000001</v>
      </c>
      <c r="L13" s="24">
        <f>SUM(H13-K13-1118200)</f>
        <v>-9061119</v>
      </c>
      <c r="M13" s="25">
        <f>+K13*100/H13</f>
        <v>104.41104038509114</v>
      </c>
      <c r="N13" s="24">
        <f>+D13-H13</f>
        <v>124730939.03999999</v>
      </c>
      <c r="O13" s="24">
        <f>+D13-I13+J13</f>
        <v>116788020.03999999</v>
      </c>
      <c r="R13" s="51"/>
    </row>
    <row r="14" spans="1:20" s="6" customFormat="1" ht="24" customHeight="1">
      <c r="A14" s="92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537361212</v>
      </c>
      <c r="I14" s="17">
        <f t="shared" si="3"/>
        <v>416017161</v>
      </c>
      <c r="J14" s="17">
        <f>SUM(J15:J16)</f>
        <v>25700</v>
      </c>
      <c r="K14" s="17"/>
      <c r="L14" s="17">
        <f>+H14-I14</f>
        <v>121344051</v>
      </c>
      <c r="M14" s="15"/>
      <c r="N14" s="18"/>
      <c r="O14" s="18"/>
      <c r="R14" s="51"/>
    </row>
    <row r="15" spans="1:20" ht="24" customHeight="1" outlineLevel="1">
      <c r="A15" s="93"/>
      <c r="B15" s="19" t="s">
        <v>20</v>
      </c>
      <c r="C15" s="12"/>
      <c r="D15" s="13">
        <v>338112000</v>
      </c>
      <c r="E15" s="12"/>
      <c r="F15" s="12"/>
      <c r="G15" s="12"/>
      <c r="H15" s="13">
        <v>261771712</v>
      </c>
      <c r="I15" s="13">
        <v>177273911</v>
      </c>
      <c r="J15" s="13"/>
      <c r="K15" s="13"/>
      <c r="L15" s="13">
        <f t="shared" ref="L15:L19" si="4">+H15-I15</f>
        <v>84497801</v>
      </c>
      <c r="M15" s="14"/>
      <c r="N15" s="13"/>
      <c r="O15" s="13"/>
      <c r="Q15" s="33"/>
      <c r="T15" s="33"/>
    </row>
    <row r="16" spans="1:20" ht="24" customHeight="1" outlineLevel="1">
      <c r="A16" s="93"/>
      <c r="B16" s="11" t="s">
        <v>21</v>
      </c>
      <c r="C16" s="12"/>
      <c r="D16" s="13">
        <v>365841600</v>
      </c>
      <c r="E16" s="12"/>
      <c r="F16" s="12"/>
      <c r="G16" s="12"/>
      <c r="H16" s="13">
        <v>275589500</v>
      </c>
      <c r="I16" s="13">
        <v>238743250</v>
      </c>
      <c r="J16" s="13">
        <f>2500+12500+700+10000</f>
        <v>25700</v>
      </c>
      <c r="K16" s="13"/>
      <c r="L16" s="13">
        <f t="shared" si="4"/>
        <v>36846250</v>
      </c>
      <c r="M16" s="14"/>
      <c r="N16" s="13"/>
      <c r="O16" s="13"/>
      <c r="P16" s="33"/>
      <c r="T16" s="33"/>
    </row>
    <row r="17" spans="1:18" s="6" customFormat="1" ht="24" customHeight="1">
      <c r="A17" s="93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51"/>
    </row>
    <row r="18" spans="1:18" ht="24" customHeight="1" outlineLevel="1">
      <c r="A18" s="93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93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4">
      <c r="A20" s="94"/>
      <c r="B20" s="26" t="s">
        <v>8</v>
      </c>
      <c r="C20" s="27">
        <v>4696</v>
      </c>
      <c r="D20" s="28">
        <f>+D17+D14</f>
        <v>751360000</v>
      </c>
      <c r="E20" s="27">
        <f>3552+591+7+16</f>
        <v>4166</v>
      </c>
      <c r="F20" s="27">
        <f>34+142+89</f>
        <v>265</v>
      </c>
      <c r="G20" s="27">
        <f>+E20-F20</f>
        <v>3901</v>
      </c>
      <c r="H20" s="28">
        <f>+H14+H17</f>
        <v>584767612</v>
      </c>
      <c r="I20" s="28">
        <f>+I14+I17</f>
        <v>463423561</v>
      </c>
      <c r="J20" s="28">
        <f>+J14+J17</f>
        <v>25700</v>
      </c>
      <c r="K20" s="28">
        <f>SUM(I20-J20)</f>
        <v>463397861</v>
      </c>
      <c r="L20" s="28">
        <f>SUM(H20-K20-700)</f>
        <v>121369051</v>
      </c>
      <c r="M20" s="29">
        <f>+K20*100/H20</f>
        <v>79.244789124880597</v>
      </c>
      <c r="N20" s="28">
        <f>+D20-H20</f>
        <v>166592388</v>
      </c>
      <c r="O20" s="28">
        <f>+D20-I20+J20</f>
        <v>287962139</v>
      </c>
      <c r="P20" s="34"/>
      <c r="R20" s="51"/>
    </row>
    <row r="21" spans="1:18" ht="24" customHeight="1">
      <c r="A21" s="70">
        <v>2561</v>
      </c>
      <c r="B21" s="8" t="s">
        <v>70</v>
      </c>
      <c r="C21" s="16">
        <v>1594</v>
      </c>
      <c r="D21" s="17">
        <f>SUM(D22:D26)</f>
        <v>35992328</v>
      </c>
      <c r="E21" s="17"/>
      <c r="F21" s="17"/>
      <c r="G21" s="17"/>
      <c r="H21" s="17">
        <f t="shared" ref="H21:I21" si="6">SUM(H22:H26)</f>
        <v>35782328</v>
      </c>
      <c r="I21" s="17">
        <f t="shared" si="6"/>
        <v>33874548</v>
      </c>
      <c r="J21" s="17"/>
      <c r="K21" s="17"/>
      <c r="L21" s="17">
        <f>SUM(L22:L26)</f>
        <v>1907780</v>
      </c>
      <c r="M21" s="17"/>
      <c r="N21" s="63">
        <f>+D21-H21</f>
        <v>210000</v>
      </c>
      <c r="O21" s="63">
        <f>+D21-I21+J21</f>
        <v>2117780</v>
      </c>
    </row>
    <row r="22" spans="1:18" ht="24" customHeight="1" outlineLevel="1">
      <c r="A22" s="71"/>
      <c r="B22" s="19" t="s">
        <v>83</v>
      </c>
      <c r="C22" s="12"/>
      <c r="D22" s="13">
        <v>12303600</v>
      </c>
      <c r="E22" s="12"/>
      <c r="F22" s="12"/>
      <c r="G22" s="12"/>
      <c r="H22" s="13">
        <f>13086000-939000</f>
        <v>12147000</v>
      </c>
      <c r="I22" s="13">
        <v>11376000</v>
      </c>
      <c r="J22" s="13"/>
      <c r="K22" s="13"/>
      <c r="L22" s="13">
        <f t="shared" ref="L22:L40" si="7">SUM(H22-I22)</f>
        <v>771000</v>
      </c>
      <c r="M22" s="14"/>
      <c r="N22" s="13"/>
      <c r="O22" s="13"/>
      <c r="Q22" s="33"/>
    </row>
    <row r="23" spans="1:18" ht="24" customHeight="1" outlineLevel="1">
      <c r="A23" s="71"/>
      <c r="B23" s="19" t="s">
        <v>82</v>
      </c>
      <c r="C23" s="12"/>
      <c r="D23" s="13">
        <v>2845650</v>
      </c>
      <c r="E23" s="12"/>
      <c r="F23" s="12"/>
      <c r="G23" s="12"/>
      <c r="H23" s="13">
        <f>2845650-53400</f>
        <v>2792250</v>
      </c>
      <c r="I23" s="13">
        <v>1966370</v>
      </c>
      <c r="J23" s="13"/>
      <c r="K23" s="13"/>
      <c r="L23" s="13">
        <f t="shared" si="7"/>
        <v>825880</v>
      </c>
      <c r="M23" s="14"/>
      <c r="N23" s="13"/>
      <c r="O23" s="13"/>
      <c r="Q23" s="33"/>
    </row>
    <row r="24" spans="1:18" ht="24" customHeight="1" outlineLevel="1">
      <c r="A24" s="71"/>
      <c r="B24" s="11" t="s">
        <v>28</v>
      </c>
      <c r="C24" s="12"/>
      <c r="D24" s="13">
        <f>4069800+500000</f>
        <v>4569800</v>
      </c>
      <c r="E24" s="12"/>
      <c r="F24" s="12"/>
      <c r="G24" s="12"/>
      <c r="H24" s="13">
        <v>4569800</v>
      </c>
      <c r="I24" s="13">
        <v>4258900</v>
      </c>
      <c r="J24" s="13"/>
      <c r="K24" s="13"/>
      <c r="L24" s="13">
        <f t="shared" si="7"/>
        <v>310900</v>
      </c>
      <c r="M24" s="14"/>
      <c r="N24" s="13"/>
      <c r="O24" s="13"/>
    </row>
    <row r="25" spans="1:18" ht="24" customHeight="1" outlineLevel="1">
      <c r="A25" s="71"/>
      <c r="B25" s="11" t="s">
        <v>29</v>
      </c>
      <c r="C25" s="12"/>
      <c r="D25" s="13">
        <f>163966.8+109311.2</f>
        <v>273278</v>
      </c>
      <c r="E25" s="12"/>
      <c r="F25" s="12"/>
      <c r="G25" s="12"/>
      <c r="H25" s="13">
        <f>163966.8+109311.2</f>
        <v>273278</v>
      </c>
      <c r="I25" s="13">
        <f>163966.8+109311.2</f>
        <v>273278</v>
      </c>
      <c r="J25" s="13"/>
      <c r="K25" s="13"/>
      <c r="L25" s="13">
        <f t="shared" si="7"/>
        <v>0</v>
      </c>
      <c r="M25" s="14"/>
      <c r="N25" s="13"/>
      <c r="O25" s="13"/>
    </row>
    <row r="26" spans="1:18" ht="24" customHeight="1" outlineLevel="1">
      <c r="A26" s="72"/>
      <c r="B26" s="11" t="s">
        <v>24</v>
      </c>
      <c r="C26" s="12"/>
      <c r="D26" s="13">
        <v>16000000</v>
      </c>
      <c r="E26" s="12"/>
      <c r="F26" s="12"/>
      <c r="G26" s="12"/>
      <c r="H26" s="13">
        <v>16000000</v>
      </c>
      <c r="I26" s="13">
        <v>16000000</v>
      </c>
      <c r="J26" s="13"/>
      <c r="K26" s="13"/>
      <c r="L26" s="13">
        <f t="shared" si="7"/>
        <v>0</v>
      </c>
      <c r="M26" s="14"/>
      <c r="N26" s="13"/>
      <c r="O26" s="13"/>
    </row>
    <row r="27" spans="1:18" ht="24" customHeight="1">
      <c r="A27" s="70">
        <v>2562</v>
      </c>
      <c r="B27" s="8" t="s">
        <v>72</v>
      </c>
      <c r="C27" s="16"/>
      <c r="D27" s="17">
        <f>SUM(D28:D31)</f>
        <v>15189000</v>
      </c>
      <c r="E27" s="17"/>
      <c r="F27" s="17"/>
      <c r="G27" s="17"/>
      <c r="H27" s="17">
        <f>SUM(H28:H31)</f>
        <v>10127637</v>
      </c>
      <c r="I27" s="17">
        <f>SUM(I28:I31)</f>
        <v>6614138</v>
      </c>
      <c r="J27" s="17"/>
      <c r="K27" s="17"/>
      <c r="L27" s="17">
        <f>SUM(L28:L31)</f>
        <v>3513499</v>
      </c>
      <c r="M27" s="17"/>
      <c r="N27" s="63">
        <f>+D27-H27</f>
        <v>5061363</v>
      </c>
      <c r="O27" s="63">
        <f>+D27-I27+J27</f>
        <v>8574862</v>
      </c>
    </row>
    <row r="28" spans="1:18" ht="24" customHeight="1" outlineLevel="1">
      <c r="A28" s="71"/>
      <c r="B28" s="19" t="s">
        <v>83</v>
      </c>
      <c r="C28" s="12"/>
      <c r="D28" s="13">
        <v>7689000</v>
      </c>
      <c r="E28" s="12"/>
      <c r="F28" s="12"/>
      <c r="G28" s="12"/>
      <c r="H28" s="13">
        <v>5607000</v>
      </c>
      <c r="I28" s="13">
        <v>5127000</v>
      </c>
      <c r="J28" s="13"/>
      <c r="K28" s="13"/>
      <c r="L28" s="13">
        <f t="shared" ref="L28:L31" si="8">SUM(H28-I28)</f>
        <v>480000</v>
      </c>
      <c r="M28" s="14"/>
      <c r="N28" s="13"/>
      <c r="O28" s="13"/>
      <c r="Q28" s="33"/>
    </row>
    <row r="29" spans="1:18" ht="24" customHeight="1" outlineLevel="1">
      <c r="A29" s="71"/>
      <c r="B29" s="19" t="s">
        <v>82</v>
      </c>
      <c r="C29" s="12"/>
      <c r="D29" s="13">
        <f>6000000-D31</f>
        <v>5600062</v>
      </c>
      <c r="E29" s="12"/>
      <c r="F29" s="12"/>
      <c r="G29" s="12"/>
      <c r="H29" s="13">
        <v>4120699</v>
      </c>
      <c r="I29" s="13">
        <v>1087200</v>
      </c>
      <c r="J29" s="13"/>
      <c r="K29" s="13"/>
      <c r="L29" s="13">
        <f t="shared" si="8"/>
        <v>3033499</v>
      </c>
      <c r="M29" s="14"/>
      <c r="N29" s="13"/>
      <c r="O29" s="13"/>
      <c r="Q29" s="33"/>
    </row>
    <row r="30" spans="1:18" ht="24" customHeight="1" outlineLevel="1">
      <c r="A30" s="71"/>
      <c r="B30" s="11" t="s">
        <v>28</v>
      </c>
      <c r="C30" s="12"/>
      <c r="D30" s="13">
        <f>1500000</f>
        <v>1500000</v>
      </c>
      <c r="E30" s="12"/>
      <c r="F30" s="12"/>
      <c r="G30" s="12"/>
      <c r="H30" s="13">
        <v>0</v>
      </c>
      <c r="I30" s="13">
        <v>0</v>
      </c>
      <c r="J30" s="13"/>
      <c r="K30" s="13"/>
      <c r="L30" s="13">
        <f t="shared" si="8"/>
        <v>0</v>
      </c>
      <c r="M30" s="14"/>
      <c r="N30" s="13"/>
      <c r="O30" s="13"/>
    </row>
    <row r="31" spans="1:18" ht="24" customHeight="1" outlineLevel="1">
      <c r="A31" s="71"/>
      <c r="B31" s="11" t="s">
        <v>29</v>
      </c>
      <c r="C31" s="12"/>
      <c r="D31" s="13">
        <f>99938+150000+150000</f>
        <v>399938</v>
      </c>
      <c r="E31" s="12"/>
      <c r="F31" s="12"/>
      <c r="G31" s="12"/>
      <c r="H31" s="13">
        <f>99938+150000+150000</f>
        <v>399938</v>
      </c>
      <c r="I31" s="13">
        <f>99938+150000+150000</f>
        <v>399938</v>
      </c>
      <c r="J31" s="13"/>
      <c r="K31" s="13"/>
      <c r="L31" s="13">
        <f t="shared" si="8"/>
        <v>0</v>
      </c>
      <c r="M31" s="14"/>
      <c r="N31" s="13"/>
      <c r="O31" s="13"/>
    </row>
    <row r="32" spans="1:18" s="6" customFormat="1" outlineLevel="1">
      <c r="A32" s="71"/>
      <c r="B32" s="55" t="s">
        <v>73</v>
      </c>
      <c r="C32" s="16">
        <v>927</v>
      </c>
      <c r="D32" s="17">
        <f>SUM(D33:D38)</f>
        <v>148498672</v>
      </c>
      <c r="E32" s="62">
        <f>583+344</f>
        <v>927</v>
      </c>
      <c r="F32" s="62">
        <v>0</v>
      </c>
      <c r="G32" s="62">
        <f>+E32-F32</f>
        <v>927</v>
      </c>
      <c r="H32" s="17">
        <f t="shared" ref="H32:L32" si="9">SUM(H33:H38)</f>
        <v>145284360</v>
      </c>
      <c r="I32" s="17">
        <f t="shared" si="9"/>
        <v>0</v>
      </c>
      <c r="J32" s="17"/>
      <c r="K32" s="17"/>
      <c r="L32" s="17">
        <f t="shared" si="9"/>
        <v>145284360</v>
      </c>
      <c r="M32" s="17"/>
      <c r="N32" s="63">
        <f>+D32-H32</f>
        <v>3214312</v>
      </c>
      <c r="O32" s="63">
        <f>+D32-I32+J32</f>
        <v>148498672</v>
      </c>
      <c r="R32" s="51"/>
    </row>
    <row r="33" spans="1:18" ht="24" customHeight="1" outlineLevel="1">
      <c r="A33" s="71"/>
      <c r="B33" s="19" t="s">
        <v>78</v>
      </c>
      <c r="C33" s="12"/>
      <c r="D33" s="13">
        <v>46350000</v>
      </c>
      <c r="E33" s="12"/>
      <c r="F33" s="12"/>
      <c r="G33" s="12"/>
      <c r="H33" s="13">
        <v>46350000</v>
      </c>
      <c r="I33" s="13">
        <v>0</v>
      </c>
      <c r="J33" s="13"/>
      <c r="K33" s="13"/>
      <c r="L33" s="13">
        <f t="shared" si="7"/>
        <v>46350000</v>
      </c>
      <c r="M33" s="14"/>
      <c r="N33" s="13"/>
      <c r="O33" s="13"/>
    </row>
    <row r="34" spans="1:18" ht="24" customHeight="1" outlineLevel="1">
      <c r="A34" s="71"/>
      <c r="B34" s="19" t="s">
        <v>80</v>
      </c>
      <c r="C34" s="12"/>
      <c r="D34" s="13">
        <v>23175000</v>
      </c>
      <c r="E34" s="12"/>
      <c r="F34" s="12"/>
      <c r="G34" s="12"/>
      <c r="H34" s="13">
        <v>23175000</v>
      </c>
      <c r="I34" s="13">
        <v>0</v>
      </c>
      <c r="J34" s="13"/>
      <c r="K34" s="13"/>
      <c r="L34" s="13">
        <f t="shared" si="7"/>
        <v>23175000</v>
      </c>
      <c r="M34" s="14"/>
      <c r="N34" s="13"/>
      <c r="O34" s="13"/>
    </row>
    <row r="35" spans="1:18" ht="24" customHeight="1" outlineLevel="1">
      <c r="A35" s="71"/>
      <c r="B35" s="19" t="s">
        <v>79</v>
      </c>
      <c r="C35" s="12"/>
      <c r="D35" s="13">
        <v>66744000</v>
      </c>
      <c r="E35" s="12"/>
      <c r="F35" s="12"/>
      <c r="G35" s="12"/>
      <c r="H35" s="13">
        <v>66744000</v>
      </c>
      <c r="I35" s="13">
        <v>0</v>
      </c>
      <c r="J35" s="13"/>
      <c r="K35" s="13"/>
      <c r="L35" s="13">
        <f t="shared" si="7"/>
        <v>66744000</v>
      </c>
      <c r="M35" s="14"/>
      <c r="N35" s="13"/>
      <c r="O35" s="13"/>
    </row>
    <row r="36" spans="1:18" ht="24" customHeight="1" outlineLevel="1">
      <c r="A36" s="71"/>
      <c r="B36" s="11" t="s">
        <v>81</v>
      </c>
      <c r="C36" s="12"/>
      <c r="D36" s="13">
        <v>2082500</v>
      </c>
      <c r="E36" s="12"/>
      <c r="F36" s="12"/>
      <c r="G36" s="12"/>
      <c r="H36" s="13">
        <v>2082500</v>
      </c>
      <c r="I36" s="13">
        <v>0</v>
      </c>
      <c r="J36" s="13"/>
      <c r="K36" s="13"/>
      <c r="L36" s="13">
        <f t="shared" si="7"/>
        <v>2082500</v>
      </c>
      <c r="M36" s="14"/>
      <c r="N36" s="13"/>
      <c r="O36" s="13"/>
    </row>
    <row r="37" spans="1:18" ht="24" customHeight="1" outlineLevel="1">
      <c r="A37" s="71"/>
      <c r="B37" s="11" t="s">
        <v>76</v>
      </c>
      <c r="C37" s="12"/>
      <c r="D37" s="13">
        <v>3214312</v>
      </c>
      <c r="E37" s="12"/>
      <c r="F37" s="12"/>
      <c r="G37" s="12"/>
      <c r="H37" s="13">
        <v>0</v>
      </c>
      <c r="I37" s="13">
        <v>0</v>
      </c>
      <c r="J37" s="13"/>
      <c r="K37" s="13"/>
      <c r="L37" s="13">
        <f t="shared" si="7"/>
        <v>0</v>
      </c>
      <c r="M37" s="14"/>
      <c r="N37" s="13"/>
      <c r="O37" s="13"/>
      <c r="P37" s="33"/>
    </row>
    <row r="38" spans="1:18" ht="24" customHeight="1" outlineLevel="1">
      <c r="A38" s="71"/>
      <c r="B38" s="11" t="s">
        <v>77</v>
      </c>
      <c r="C38" s="12"/>
      <c r="D38" s="13">
        <v>6932860</v>
      </c>
      <c r="E38" s="13"/>
      <c r="F38" s="13"/>
      <c r="G38" s="13"/>
      <c r="H38" s="13">
        <v>6932860</v>
      </c>
      <c r="I38" s="13">
        <v>0</v>
      </c>
      <c r="J38" s="13"/>
      <c r="K38" s="13"/>
      <c r="L38" s="13">
        <f t="shared" si="7"/>
        <v>6932860</v>
      </c>
      <c r="M38" s="13"/>
      <c r="N38" s="13"/>
      <c r="O38" s="13"/>
      <c r="P38" s="33"/>
    </row>
    <row r="39" spans="1:18" ht="24" hidden="1" customHeight="1" outlineLevel="1">
      <c r="A39" s="71"/>
      <c r="B39" s="56" t="s">
        <v>71</v>
      </c>
      <c r="C39" s="57"/>
      <c r="D39" s="58">
        <f>9492000-D40</f>
        <v>9242062</v>
      </c>
      <c r="E39" s="57"/>
      <c r="F39" s="57"/>
      <c r="G39" s="57"/>
      <c r="H39" s="59"/>
      <c r="I39" s="59"/>
      <c r="J39" s="59"/>
      <c r="K39" s="59"/>
      <c r="L39" s="59">
        <f t="shared" si="7"/>
        <v>0</v>
      </c>
      <c r="M39" s="60"/>
      <c r="N39" s="59"/>
      <c r="O39" s="59"/>
    </row>
    <row r="40" spans="1:18" ht="24" hidden="1" customHeight="1" outlineLevel="1">
      <c r="A40" s="71"/>
      <c r="B40" s="56" t="s">
        <v>29</v>
      </c>
      <c r="C40" s="57"/>
      <c r="D40" s="59">
        <v>249938</v>
      </c>
      <c r="E40" s="57"/>
      <c r="F40" s="57"/>
      <c r="G40" s="57"/>
      <c r="H40" s="59">
        <f>99938+150000</f>
        <v>249938</v>
      </c>
      <c r="I40" s="59">
        <f>99938+150000</f>
        <v>249938</v>
      </c>
      <c r="J40" s="59"/>
      <c r="K40" s="59"/>
      <c r="L40" s="59">
        <f t="shared" si="7"/>
        <v>0</v>
      </c>
      <c r="M40" s="60"/>
      <c r="N40" s="59"/>
      <c r="O40" s="59"/>
      <c r="P40" s="33"/>
    </row>
    <row r="41" spans="1:18" ht="26.4">
      <c r="A41" s="72"/>
      <c r="B41" s="30" t="s">
        <v>8</v>
      </c>
      <c r="C41" s="31">
        <f>SUM(C21+C32)</f>
        <v>2521</v>
      </c>
      <c r="D41" s="32">
        <f t="shared" ref="D41:J41" si="10">SUM(D21+D27+D32)</f>
        <v>199680000</v>
      </c>
      <c r="E41" s="31">
        <f t="shared" si="10"/>
        <v>927</v>
      </c>
      <c r="F41" s="31">
        <f t="shared" si="10"/>
        <v>0</v>
      </c>
      <c r="G41" s="31">
        <f t="shared" si="10"/>
        <v>927</v>
      </c>
      <c r="H41" s="32">
        <f t="shared" si="10"/>
        <v>191194325</v>
      </c>
      <c r="I41" s="32">
        <f t="shared" si="10"/>
        <v>40488686</v>
      </c>
      <c r="J41" s="32">
        <f t="shared" si="10"/>
        <v>0</v>
      </c>
      <c r="K41" s="32">
        <f>SUM(I41-J41)</f>
        <v>40488686</v>
      </c>
      <c r="L41" s="32">
        <f>SUM(L21+L27+L32)</f>
        <v>150705639</v>
      </c>
      <c r="M41" s="54">
        <f>+K41*100/H41</f>
        <v>21.176719549599603</v>
      </c>
      <c r="N41" s="32">
        <f>+D41-H41</f>
        <v>8485675</v>
      </c>
      <c r="O41" s="32">
        <f>+D41-I41+J41</f>
        <v>159191314</v>
      </c>
    </row>
    <row r="42" spans="1:18" s="6" customFormat="1" ht="26.4">
      <c r="A42" s="68" t="s">
        <v>25</v>
      </c>
      <c r="B42" s="69"/>
      <c r="C42" s="20">
        <f>+C13+C20+C41</f>
        <v>11027</v>
      </c>
      <c r="D42" s="21">
        <f t="shared" ref="D42:L42" si="11">+D41+D20+D13</f>
        <v>1255840000</v>
      </c>
      <c r="E42" s="20">
        <f t="shared" si="11"/>
        <v>8967</v>
      </c>
      <c r="F42" s="20">
        <f t="shared" si="11"/>
        <v>3323</v>
      </c>
      <c r="G42" s="20">
        <f t="shared" si="11"/>
        <v>5644</v>
      </c>
      <c r="H42" s="21">
        <f t="shared" si="11"/>
        <v>956030997.96000004</v>
      </c>
      <c r="I42" s="21">
        <f t="shared" si="11"/>
        <v>728413384.96000004</v>
      </c>
      <c r="J42" s="21">
        <f t="shared" si="11"/>
        <v>36514858</v>
      </c>
      <c r="K42" s="21">
        <f t="shared" si="11"/>
        <v>691898526.96000004</v>
      </c>
      <c r="L42" s="21">
        <f t="shared" si="11"/>
        <v>263013571</v>
      </c>
      <c r="M42" s="53">
        <f>+K42*100/H42</f>
        <v>72.37197626817418</v>
      </c>
      <c r="N42" s="21">
        <f>+N41+N20+N13</f>
        <v>299809002.03999996</v>
      </c>
      <c r="O42" s="21">
        <f>+O41+O20+O13</f>
        <v>563941473.03999996</v>
      </c>
      <c r="P42" s="34"/>
      <c r="R42" s="51"/>
    </row>
    <row r="43" spans="1:18">
      <c r="A43" s="1" t="s">
        <v>31</v>
      </c>
      <c r="B43" s="35" t="s">
        <v>32</v>
      </c>
    </row>
    <row r="44" spans="1:18">
      <c r="B44" s="35" t="s">
        <v>41</v>
      </c>
      <c r="P44" s="33"/>
    </row>
    <row r="45" spans="1:18" ht="55.5" customHeight="1">
      <c r="B45" s="47" t="s">
        <v>63</v>
      </c>
    </row>
  </sheetData>
  <mergeCells count="23">
    <mergeCell ref="A1:O1"/>
    <mergeCell ref="I3:I5"/>
    <mergeCell ref="J3:J5"/>
    <mergeCell ref="K3:K5"/>
    <mergeCell ref="L3:L5"/>
    <mergeCell ref="A6:A13"/>
    <mergeCell ref="A14:A20"/>
    <mergeCell ref="A3:A5"/>
    <mergeCell ref="A2:O2"/>
    <mergeCell ref="O3:O5"/>
    <mergeCell ref="A42:B42"/>
    <mergeCell ref="A21:A26"/>
    <mergeCell ref="A27:A41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</mergeCells>
  <pageMargins left="0.87" right="0.17" top="0.17" bottom="0.16" header="0.17" footer="0.17"/>
  <pageSetup paperSize="9" scale="48" orientation="landscape" r:id="rId1"/>
  <ignoredErrors>
    <ignoredError sqref="N10:N13" formulaRange="1"/>
    <ignoredError sqref="M10:M12 M14:M19" formula="1" formulaRange="1"/>
    <ignoredError sqref="L32 K41 M41:M42 L27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I25"/>
  <sheetViews>
    <sheetView zoomScale="80" zoomScaleNormal="80" workbookViewId="0">
      <selection activeCell="CH13" sqref="CH13"/>
    </sheetView>
  </sheetViews>
  <sheetFormatPr defaultRowHeight="14.4" outlineLevelCol="1"/>
  <cols>
    <col min="1" max="1" width="14.109375" customWidth="1"/>
    <col min="2" max="2" width="34.6640625" hidden="1" customWidth="1"/>
    <col min="3" max="3" width="8.109375" hidden="1" customWidth="1" outlineLevel="1"/>
    <col min="4" max="4" width="12.6640625" hidden="1" customWidth="1" outlineLevel="1"/>
    <col min="5" max="5" width="16.109375" hidden="1" customWidth="1" outlineLevel="1"/>
    <col min="6" max="6" width="8.33203125" hidden="1" customWidth="1" outlineLevel="1"/>
    <col min="7" max="7" width="11.44140625" hidden="1" customWidth="1" outlineLevel="1"/>
    <col min="8" max="8" width="15.6640625" hidden="1" customWidth="1" outlineLevel="1"/>
    <col min="9" max="9" width="8.44140625" hidden="1" customWidth="1" outlineLevel="1"/>
    <col min="10" max="10" width="8.33203125" hidden="1" customWidth="1" outlineLevel="1"/>
    <col min="11" max="11" width="14.44140625" hidden="1" customWidth="1" outlineLevel="1"/>
    <col min="12" max="12" width="8.44140625" hidden="1" customWidth="1" outlineLevel="1"/>
    <col min="13" max="14" width="15.6640625" hidden="1" customWidth="1" outlineLevel="1"/>
    <col min="15" max="15" width="16.109375" hidden="1" customWidth="1" collapsed="1"/>
    <col min="16" max="16" width="8.109375" hidden="1" customWidth="1" outlineLevel="1"/>
    <col min="17" max="17" width="14.44140625" hidden="1" customWidth="1" outlineLevel="1"/>
    <col min="18" max="18" width="8" hidden="1" customWidth="1" outlineLevel="1"/>
    <col min="19" max="19" width="14.44140625" hidden="1" customWidth="1" outlineLevel="1"/>
    <col min="20" max="20" width="15.6640625" hidden="1" customWidth="1" outlineLevel="1"/>
    <col min="21" max="21" width="14.44140625" hidden="1" customWidth="1" outlineLevel="1"/>
    <col min="22" max="24" width="9.109375" hidden="1" customWidth="1" outlineLevel="1"/>
    <col min="25" max="26" width="11.44140625" hidden="1" customWidth="1" outlineLevel="1"/>
    <col min="27" max="27" width="15.6640625" hidden="1" customWidth="1" outlineLevel="1"/>
    <col min="28" max="28" width="15.6640625" hidden="1" customWidth="1" collapsed="1"/>
    <col min="29" max="29" width="8.109375" hidden="1" customWidth="1" outlineLevel="1"/>
    <col min="30" max="30" width="14.44140625" hidden="1" customWidth="1" outlineLevel="1"/>
    <col min="31" max="31" width="8" hidden="1" customWidth="1" outlineLevel="1"/>
    <col min="32" max="32" width="14.44140625" hidden="1" customWidth="1" outlineLevel="1"/>
    <col min="33" max="33" width="15.6640625" hidden="1" customWidth="1" outlineLevel="1"/>
    <col min="34" max="39" width="14.44140625" hidden="1" customWidth="1" outlineLevel="1"/>
    <col min="40" max="40" width="15" hidden="1" customWidth="1" outlineLevel="1"/>
    <col min="41" max="41" width="15.6640625" hidden="1" customWidth="1" collapsed="1"/>
    <col min="42" max="43" width="15.6640625" hidden="1" customWidth="1"/>
    <col min="44" max="44" width="16.88671875" hidden="1" customWidth="1"/>
    <col min="45" max="45" width="34.6640625" customWidth="1"/>
    <col min="46" max="46" width="8.109375" hidden="1" customWidth="1" outlineLevel="1"/>
    <col min="47" max="47" width="12.6640625" hidden="1" customWidth="1" outlineLevel="1"/>
    <col min="48" max="48" width="16.109375" hidden="1" customWidth="1" outlineLevel="1"/>
    <col min="49" max="49" width="8.33203125" hidden="1" customWidth="1" outlineLevel="1"/>
    <col min="50" max="50" width="11.44140625" hidden="1" customWidth="1" outlineLevel="1"/>
    <col min="51" max="51" width="15.6640625" hidden="1" customWidth="1" outlineLevel="1"/>
    <col min="52" max="52" width="8.44140625" hidden="1" customWidth="1" outlineLevel="1"/>
    <col min="53" max="53" width="8.33203125" hidden="1" customWidth="1" outlineLevel="1"/>
    <col min="54" max="54" width="14.44140625" hidden="1" customWidth="1" outlineLevel="1"/>
    <col min="55" max="55" width="8.44140625" hidden="1" customWidth="1" outlineLevel="1"/>
    <col min="56" max="57" width="15.6640625" hidden="1" customWidth="1" outlineLevel="1"/>
    <col min="58" max="58" width="16.109375" bestFit="1" customWidth="1" collapsed="1"/>
    <col min="59" max="59" width="8.109375" hidden="1" customWidth="1" outlineLevel="1"/>
    <col min="60" max="60" width="14.44140625" hidden="1" customWidth="1" outlineLevel="1"/>
    <col min="61" max="61" width="8" hidden="1" customWidth="1" outlineLevel="1"/>
    <col min="62" max="62" width="14.44140625" hidden="1" customWidth="1" outlineLevel="1"/>
    <col min="63" max="63" width="15.6640625" hidden="1" customWidth="1" outlineLevel="1"/>
    <col min="64" max="64" width="14.44140625" hidden="1" customWidth="1" outlineLevel="1"/>
    <col min="65" max="67" width="9.109375" hidden="1" customWidth="1" outlineLevel="1"/>
    <col min="68" max="69" width="11.44140625" hidden="1" customWidth="1" outlineLevel="1"/>
    <col min="70" max="70" width="15.6640625" hidden="1" customWidth="1" outlineLevel="1"/>
    <col min="71" max="71" width="15.6640625" bestFit="1" customWidth="1" collapsed="1"/>
    <col min="72" max="72" width="15.6640625" hidden="1" customWidth="1" outlineLevel="1"/>
    <col min="73" max="73" width="14.44140625" hidden="1" customWidth="1" outlineLevel="1"/>
    <col min="74" max="74" width="8" hidden="1" customWidth="1" outlineLevel="1"/>
    <col min="75" max="75" width="14.44140625" hidden="1" customWidth="1" outlineLevel="1"/>
    <col min="76" max="76" width="15.6640625" hidden="1" customWidth="1" outlineLevel="1"/>
    <col min="77" max="82" width="14.44140625" hidden="1" customWidth="1" outlineLevel="1"/>
    <col min="83" max="83" width="15" hidden="1" customWidth="1" outlineLevel="1"/>
    <col min="84" max="84" width="15.6640625" bestFit="1" customWidth="1" collapsed="1"/>
    <col min="85" max="86" width="15.6640625" customWidth="1"/>
    <col min="87" max="87" width="16.88671875" bestFit="1" customWidth="1"/>
  </cols>
  <sheetData>
    <row r="1" spans="1:87" ht="27.75" customHeight="1">
      <c r="A1" s="6" t="s">
        <v>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  <c r="AS1" s="6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S1" s="1"/>
      <c r="BT1" s="1"/>
      <c r="BU1" s="1"/>
    </row>
    <row r="2" spans="1:87" s="43" customFormat="1" ht="24.6">
      <c r="A2" s="110" t="s">
        <v>40</v>
      </c>
      <c r="B2" s="36" t="s">
        <v>33</v>
      </c>
      <c r="C2" s="95" t="s">
        <v>42</v>
      </c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7"/>
      <c r="AS2" s="64" t="s">
        <v>86</v>
      </c>
      <c r="AT2" s="95" t="s">
        <v>88</v>
      </c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  <c r="BU2" s="96"/>
      <c r="BV2" s="96"/>
      <c r="BW2" s="96"/>
      <c r="BX2" s="96"/>
      <c r="BY2" s="96"/>
      <c r="BZ2" s="96"/>
      <c r="CA2" s="96"/>
      <c r="CB2" s="96"/>
      <c r="CC2" s="96"/>
      <c r="CD2" s="96"/>
      <c r="CE2" s="96"/>
      <c r="CF2" s="96"/>
      <c r="CG2" s="96"/>
      <c r="CH2" s="96"/>
      <c r="CI2" s="97"/>
    </row>
    <row r="3" spans="1:87" s="43" customFormat="1" ht="34.5" customHeight="1">
      <c r="A3" s="111"/>
      <c r="B3" s="86" t="s">
        <v>58</v>
      </c>
      <c r="C3" s="98" t="s">
        <v>62</v>
      </c>
      <c r="D3" s="99"/>
      <c r="E3" s="99"/>
      <c r="F3" s="99"/>
      <c r="G3" s="99"/>
      <c r="H3" s="99"/>
      <c r="I3" s="99"/>
      <c r="J3" s="99"/>
      <c r="K3" s="99"/>
      <c r="L3" s="99"/>
      <c r="M3" s="99"/>
      <c r="N3" s="100"/>
      <c r="O3" s="101" t="s">
        <v>57</v>
      </c>
      <c r="P3" s="103" t="s">
        <v>56</v>
      </c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5"/>
      <c r="AB3" s="101" t="s">
        <v>67</v>
      </c>
      <c r="AC3" s="103" t="s">
        <v>43</v>
      </c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6" t="s">
        <v>43</v>
      </c>
      <c r="AP3" s="101" t="s">
        <v>68</v>
      </c>
      <c r="AQ3" s="108" t="s">
        <v>69</v>
      </c>
      <c r="AR3" s="108" t="s">
        <v>34</v>
      </c>
      <c r="AS3" s="86" t="s">
        <v>87</v>
      </c>
      <c r="AT3" s="98" t="s">
        <v>62</v>
      </c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100"/>
      <c r="BF3" s="101" t="s">
        <v>57</v>
      </c>
      <c r="BG3" s="103" t="s">
        <v>56</v>
      </c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5"/>
      <c r="BS3" s="101" t="s">
        <v>67</v>
      </c>
      <c r="BT3" s="103" t="s">
        <v>43</v>
      </c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6" t="s">
        <v>43</v>
      </c>
      <c r="CG3" s="101" t="s">
        <v>68</v>
      </c>
      <c r="CH3" s="108" t="s">
        <v>69</v>
      </c>
      <c r="CI3" s="108" t="s">
        <v>34</v>
      </c>
    </row>
    <row r="4" spans="1:87" s="43" customFormat="1" ht="36" customHeight="1">
      <c r="A4" s="112"/>
      <c r="B4" s="88"/>
      <c r="C4" s="46" t="s">
        <v>44</v>
      </c>
      <c r="D4" s="46" t="s">
        <v>45</v>
      </c>
      <c r="E4" s="46" t="s">
        <v>46</v>
      </c>
      <c r="F4" s="46" t="s">
        <v>47</v>
      </c>
      <c r="G4" s="46" t="s">
        <v>48</v>
      </c>
      <c r="H4" s="46" t="s">
        <v>49</v>
      </c>
      <c r="I4" s="46" t="s">
        <v>50</v>
      </c>
      <c r="J4" s="46" t="s">
        <v>51</v>
      </c>
      <c r="K4" s="46" t="s">
        <v>52</v>
      </c>
      <c r="L4" s="61" t="s">
        <v>53</v>
      </c>
      <c r="M4" s="61" t="s">
        <v>54</v>
      </c>
      <c r="N4" s="61" t="s">
        <v>55</v>
      </c>
      <c r="O4" s="102"/>
      <c r="P4" s="46" t="s">
        <v>44</v>
      </c>
      <c r="Q4" s="46" t="s">
        <v>45</v>
      </c>
      <c r="R4" s="46" t="s">
        <v>46</v>
      </c>
      <c r="S4" s="46" t="s">
        <v>47</v>
      </c>
      <c r="T4" s="46" t="s">
        <v>48</v>
      </c>
      <c r="U4" s="46" t="s">
        <v>49</v>
      </c>
      <c r="V4" s="46" t="s">
        <v>50</v>
      </c>
      <c r="W4" s="46" t="s">
        <v>51</v>
      </c>
      <c r="X4" s="46" t="s">
        <v>52</v>
      </c>
      <c r="Y4" s="46" t="s">
        <v>53</v>
      </c>
      <c r="Z4" s="61" t="s">
        <v>54</v>
      </c>
      <c r="AA4" s="61" t="s">
        <v>55</v>
      </c>
      <c r="AB4" s="102"/>
      <c r="AC4" s="46" t="s">
        <v>44</v>
      </c>
      <c r="AD4" s="46" t="s">
        <v>45</v>
      </c>
      <c r="AE4" s="46" t="s">
        <v>46</v>
      </c>
      <c r="AF4" s="46" t="s">
        <v>47</v>
      </c>
      <c r="AG4" s="46" t="s">
        <v>48</v>
      </c>
      <c r="AH4" s="46" t="s">
        <v>49</v>
      </c>
      <c r="AI4" s="46" t="s">
        <v>50</v>
      </c>
      <c r="AJ4" s="46" t="s">
        <v>51</v>
      </c>
      <c r="AK4" s="46" t="s">
        <v>52</v>
      </c>
      <c r="AL4" s="46" t="s">
        <v>53</v>
      </c>
      <c r="AM4" s="61" t="s">
        <v>54</v>
      </c>
      <c r="AN4" s="61" t="s">
        <v>55</v>
      </c>
      <c r="AO4" s="107"/>
      <c r="AP4" s="102"/>
      <c r="AQ4" s="109"/>
      <c r="AR4" s="109"/>
      <c r="AS4" s="88"/>
      <c r="AT4" s="61" t="s">
        <v>44</v>
      </c>
      <c r="AU4" s="61" t="s">
        <v>45</v>
      </c>
      <c r="AV4" s="61" t="s">
        <v>46</v>
      </c>
      <c r="AW4" s="61" t="s">
        <v>47</v>
      </c>
      <c r="AX4" s="61" t="s">
        <v>48</v>
      </c>
      <c r="AY4" s="61" t="s">
        <v>49</v>
      </c>
      <c r="AZ4" s="61" t="s">
        <v>50</v>
      </c>
      <c r="BA4" s="61" t="s">
        <v>51</v>
      </c>
      <c r="BB4" s="61" t="s">
        <v>52</v>
      </c>
      <c r="BC4" s="61" t="s">
        <v>53</v>
      </c>
      <c r="BD4" s="61" t="s">
        <v>54</v>
      </c>
      <c r="BE4" s="61" t="s">
        <v>55</v>
      </c>
      <c r="BF4" s="102"/>
      <c r="BG4" s="61" t="s">
        <v>44</v>
      </c>
      <c r="BH4" s="61" t="s">
        <v>45</v>
      </c>
      <c r="BI4" s="61" t="s">
        <v>46</v>
      </c>
      <c r="BJ4" s="61" t="s">
        <v>47</v>
      </c>
      <c r="BK4" s="61" t="s">
        <v>48</v>
      </c>
      <c r="BL4" s="61" t="s">
        <v>49</v>
      </c>
      <c r="BM4" s="61" t="s">
        <v>50</v>
      </c>
      <c r="BN4" s="61" t="s">
        <v>51</v>
      </c>
      <c r="BO4" s="61" t="s">
        <v>52</v>
      </c>
      <c r="BP4" s="61" t="s">
        <v>53</v>
      </c>
      <c r="BQ4" s="61" t="s">
        <v>54</v>
      </c>
      <c r="BR4" s="61" t="s">
        <v>55</v>
      </c>
      <c r="BS4" s="102"/>
      <c r="BT4" s="61" t="s">
        <v>44</v>
      </c>
      <c r="BU4" s="61" t="s">
        <v>45</v>
      </c>
      <c r="BV4" s="61" t="s">
        <v>46</v>
      </c>
      <c r="BW4" s="61" t="s">
        <v>47</v>
      </c>
      <c r="BX4" s="61" t="s">
        <v>48</v>
      </c>
      <c r="BY4" s="61" t="s">
        <v>49</v>
      </c>
      <c r="BZ4" s="61" t="s">
        <v>50</v>
      </c>
      <c r="CA4" s="61" t="s">
        <v>51</v>
      </c>
      <c r="CB4" s="61" t="s">
        <v>52</v>
      </c>
      <c r="CC4" s="61" t="s">
        <v>53</v>
      </c>
      <c r="CD4" s="61" t="s">
        <v>54</v>
      </c>
      <c r="CE4" s="61" t="s">
        <v>55</v>
      </c>
      <c r="CF4" s="107"/>
      <c r="CG4" s="102"/>
      <c r="CH4" s="109"/>
      <c r="CI4" s="109"/>
    </row>
    <row r="5" spans="1:87" ht="24.6">
      <c r="A5" s="37" t="s">
        <v>35</v>
      </c>
      <c r="B5" s="38">
        <v>22820510</v>
      </c>
      <c r="C5" s="38">
        <v>0</v>
      </c>
      <c r="D5" s="38">
        <v>0</v>
      </c>
      <c r="E5" s="38">
        <v>473994</v>
      </c>
      <c r="F5" s="38"/>
      <c r="G5" s="38"/>
      <c r="H5" s="38"/>
      <c r="I5" s="38"/>
      <c r="J5" s="38"/>
      <c r="K5" s="38">
        <v>0</v>
      </c>
      <c r="L5" s="38"/>
      <c r="M5" s="38"/>
      <c r="N5" s="38"/>
      <c r="O5" s="13">
        <f>SUM(C5:N5)</f>
        <v>473994</v>
      </c>
      <c r="P5" s="38">
        <v>0</v>
      </c>
      <c r="Q5" s="38">
        <v>0</v>
      </c>
      <c r="R5" s="38">
        <v>0</v>
      </c>
      <c r="S5" s="38">
        <v>0</v>
      </c>
      <c r="T5" s="38">
        <v>34534500</v>
      </c>
      <c r="U5" s="38">
        <v>2250000</v>
      </c>
      <c r="V5" s="38"/>
      <c r="W5" s="38"/>
      <c r="X5" s="38"/>
      <c r="Y5" s="38">
        <v>15000</v>
      </c>
      <c r="Z5" s="38"/>
      <c r="AA5" s="13"/>
      <c r="AB5" s="38">
        <f>SUM(P5:AA5)</f>
        <v>36799500</v>
      </c>
      <c r="AC5" s="38">
        <v>0</v>
      </c>
      <c r="AD5" s="38">
        <v>0</v>
      </c>
      <c r="AE5" s="38">
        <v>0</v>
      </c>
      <c r="AF5" s="38">
        <v>0</v>
      </c>
      <c r="AG5" s="38"/>
      <c r="AH5" s="38"/>
      <c r="AI5" s="38">
        <f>472750+450000+32500</f>
        <v>955250</v>
      </c>
      <c r="AJ5" s="38"/>
      <c r="AK5" s="38">
        <f>3044200+250000+720000</f>
        <v>4014200</v>
      </c>
      <c r="AL5" s="38">
        <v>0</v>
      </c>
      <c r="AM5" s="38">
        <v>0</v>
      </c>
      <c r="AN5" s="13">
        <f>990000+550000+25000</f>
        <v>1565000</v>
      </c>
      <c r="AO5" s="38">
        <f>SUM(AC5:AN5)</f>
        <v>6534450</v>
      </c>
      <c r="AP5" s="38">
        <f>157500+4647300+5948527</f>
        <v>10753327</v>
      </c>
      <c r="AQ5" s="38">
        <f>AO5*100/(B5+O5-AB5+AP5)</f>
        <v>-237.47223957532682</v>
      </c>
      <c r="AR5" s="38">
        <f>+B5+O5-AB5-AO5+AP5</f>
        <v>-9286119</v>
      </c>
      <c r="AS5" s="38">
        <v>-9286119</v>
      </c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13">
        <f>SUM(AT5:BE5)</f>
        <v>0</v>
      </c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13"/>
      <c r="BS5" s="38">
        <f>SUM(BG5:BR5)</f>
        <v>0</v>
      </c>
      <c r="BT5" s="38">
        <v>0</v>
      </c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13"/>
      <c r="CF5" s="38">
        <f>SUM(BT5:CE5)</f>
        <v>0</v>
      </c>
      <c r="CG5" s="38">
        <v>225000</v>
      </c>
      <c r="CH5" s="38">
        <f>CF5*100/(AS5+BF5-BS5+CG5)</f>
        <v>0</v>
      </c>
      <c r="CI5" s="38">
        <f>+AS5+BF5-BS5-CF5+CG5</f>
        <v>-9061119</v>
      </c>
    </row>
    <row r="6" spans="1:87" ht="24.6">
      <c r="A6" s="39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>
        <f>12109500+12610000+194000+776000</f>
        <v>25689500</v>
      </c>
      <c r="AB6" s="13">
        <f t="shared" ref="AB6:AB8" si="0">SUM(P6:AA6)</f>
        <v>25699500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>
        <f>121600+88000+12000+288000+1018500+1600000+704000+96000+2304000+1112500+748000+102000+42500+2448000</f>
        <v>10685100</v>
      </c>
      <c r="AO6" s="38">
        <f t="shared" ref="AO6:AO7" si="1">SUM(AC6:AN6)</f>
        <v>47688599</v>
      </c>
      <c r="AP6" s="38">
        <v>10000</v>
      </c>
      <c r="AQ6" s="38">
        <f>AO6*100/(B6+O6-AB6+AP6)</f>
        <v>27.818174393986105</v>
      </c>
      <c r="AR6" s="38">
        <f>+B6+O6-AB6-AO6+AP6</f>
        <v>123741051</v>
      </c>
      <c r="AS6" s="13">
        <v>123741051</v>
      </c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>
        <f>SUM(AT6:BE6)</f>
        <v>0</v>
      </c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>
        <f t="shared" ref="BS6:BS8" si="2">SUM(BG6:BR6)</f>
        <v>0</v>
      </c>
      <c r="BT6" s="13">
        <f>2674000-302000</f>
        <v>2372000</v>
      </c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38">
        <f t="shared" ref="CF6:CF7" si="3">SUM(BT6:CE6)</f>
        <v>2372000</v>
      </c>
      <c r="CG6" s="38">
        <v>0</v>
      </c>
      <c r="CH6" s="38">
        <f>CF6*100/(AS6+BF6-BS6+CG6)</f>
        <v>1.9169062981370668</v>
      </c>
      <c r="CI6" s="38">
        <f>+AS6+BF6-BS6-CF6+CG6</f>
        <v>121369051</v>
      </c>
    </row>
    <row r="7" spans="1:87" ht="24.6">
      <c r="A7" s="39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>
        <f>54053060+352649+42000+105000+738000+207000</f>
        <v>55497709</v>
      </c>
      <c r="O7" s="13">
        <f>SUM(C7:N7)</f>
        <v>155012059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>
        <f>12000+18000+72000+54000+282000+422800</f>
        <v>860800</v>
      </c>
      <c r="AO7" s="38">
        <f t="shared" si="1"/>
        <v>7346740</v>
      </c>
      <c r="AP7" s="38"/>
      <c r="AQ7" s="38">
        <f>AO7*100/(B7+O7-AB7+AP7)</f>
        <v>4.6074128640572134</v>
      </c>
      <c r="AR7" s="38">
        <f>+B7+O7-AB7-AO7+AP7</f>
        <v>152108039</v>
      </c>
      <c r="AS7" s="13">
        <v>152108039</v>
      </c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>
        <f>SUM(AT7:BE7)</f>
        <v>0</v>
      </c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>
        <f t="shared" si="2"/>
        <v>0</v>
      </c>
      <c r="BT7" s="13">
        <f>302000+1100400</f>
        <v>1402400</v>
      </c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38">
        <f t="shared" si="3"/>
        <v>1402400</v>
      </c>
      <c r="CG7" s="38">
        <v>0</v>
      </c>
      <c r="CH7" s="38">
        <f>CF7*100/(AS7+BF7-BS7+CG7)</f>
        <v>0.92197625399667404</v>
      </c>
      <c r="CI7" s="38">
        <f>+AS7+BF7-BS7-CF7+CG7</f>
        <v>150705639</v>
      </c>
    </row>
    <row r="8" spans="1:87" ht="24.6">
      <c r="A8" s="39" t="s">
        <v>8</v>
      </c>
      <c r="B8" s="21">
        <f t="shared" ref="B8:AA8" si="4">SUM(B5:B7)</f>
        <v>221420280</v>
      </c>
      <c r="C8" s="21">
        <f t="shared" si="4"/>
        <v>0</v>
      </c>
      <c r="D8" s="21">
        <f t="shared" si="4"/>
        <v>780100</v>
      </c>
      <c r="E8" s="21">
        <f t="shared" si="4"/>
        <v>1715994</v>
      </c>
      <c r="F8" s="21">
        <f t="shared" si="4"/>
        <v>0</v>
      </c>
      <c r="G8" s="21">
        <f t="shared" si="4"/>
        <v>54000</v>
      </c>
      <c r="H8" s="21">
        <f t="shared" si="4"/>
        <v>1083000</v>
      </c>
      <c r="I8" s="21">
        <f t="shared" si="4"/>
        <v>0</v>
      </c>
      <c r="J8" s="21">
        <f t="shared" si="4"/>
        <v>0</v>
      </c>
      <c r="K8" s="21">
        <f t="shared" si="4"/>
        <v>8086050</v>
      </c>
      <c r="L8" s="21">
        <f t="shared" si="4"/>
        <v>0</v>
      </c>
      <c r="M8" s="21">
        <f t="shared" si="4"/>
        <v>91231300</v>
      </c>
      <c r="N8" s="21">
        <f t="shared" si="4"/>
        <v>55497709</v>
      </c>
      <c r="O8" s="45">
        <f t="shared" si="4"/>
        <v>158448153</v>
      </c>
      <c r="P8" s="45">
        <f t="shared" si="4"/>
        <v>0</v>
      </c>
      <c r="Q8" s="45">
        <f t="shared" si="4"/>
        <v>0</v>
      </c>
      <c r="R8" s="45">
        <f t="shared" si="4"/>
        <v>0</v>
      </c>
      <c r="S8" s="45">
        <f t="shared" si="4"/>
        <v>0</v>
      </c>
      <c r="T8" s="45">
        <f t="shared" si="4"/>
        <v>34534500</v>
      </c>
      <c r="U8" s="45">
        <f t="shared" si="4"/>
        <v>2250000</v>
      </c>
      <c r="V8" s="45">
        <f t="shared" si="4"/>
        <v>0</v>
      </c>
      <c r="W8" s="45">
        <f t="shared" si="4"/>
        <v>0</v>
      </c>
      <c r="X8" s="45">
        <f t="shared" si="4"/>
        <v>0</v>
      </c>
      <c r="Y8" s="45">
        <f t="shared" si="4"/>
        <v>15000</v>
      </c>
      <c r="Z8" s="45">
        <f t="shared" si="4"/>
        <v>10000</v>
      </c>
      <c r="AA8" s="45">
        <f t="shared" si="4"/>
        <v>25689500</v>
      </c>
      <c r="AB8" s="45">
        <f t="shared" si="0"/>
        <v>62499000</v>
      </c>
      <c r="AC8" s="45">
        <f t="shared" ref="AC8:AP8" si="5">SUM(AC5:AC7)</f>
        <v>0</v>
      </c>
      <c r="AD8" s="45">
        <f t="shared" si="5"/>
        <v>2513486</v>
      </c>
      <c r="AE8" s="45">
        <f t="shared" si="5"/>
        <v>0</v>
      </c>
      <c r="AF8" s="45">
        <f t="shared" si="5"/>
        <v>6202183</v>
      </c>
      <c r="AG8" s="45">
        <f t="shared" si="5"/>
        <v>26486080</v>
      </c>
      <c r="AH8" s="45">
        <f t="shared" si="5"/>
        <v>1242000</v>
      </c>
      <c r="AI8" s="45">
        <f t="shared" si="5"/>
        <v>1400000</v>
      </c>
      <c r="AJ8" s="45">
        <f t="shared" si="5"/>
        <v>1137000</v>
      </c>
      <c r="AK8" s="45">
        <f t="shared" si="5"/>
        <v>5235140</v>
      </c>
      <c r="AL8" s="45">
        <f t="shared" si="5"/>
        <v>2671000</v>
      </c>
      <c r="AM8" s="45">
        <f t="shared" si="5"/>
        <v>1572000</v>
      </c>
      <c r="AN8" s="45">
        <f t="shared" si="5"/>
        <v>13110900</v>
      </c>
      <c r="AO8" s="45">
        <f t="shared" si="5"/>
        <v>61569789</v>
      </c>
      <c r="AP8" s="45">
        <f t="shared" si="5"/>
        <v>10763327</v>
      </c>
      <c r="AQ8" s="45">
        <f>AO8*100/(B8+O8-AB8+AP8)</f>
        <v>18.763682419274442</v>
      </c>
      <c r="AR8" s="45">
        <f>+B8+O8-AB8-AO8+AP8</f>
        <v>266562971</v>
      </c>
      <c r="AS8" s="21">
        <f t="shared" ref="AS8:BR8" si="6">SUM(AS5:AS7)</f>
        <v>266562971</v>
      </c>
      <c r="AT8" s="21">
        <f t="shared" si="6"/>
        <v>0</v>
      </c>
      <c r="AU8" s="21">
        <f t="shared" si="6"/>
        <v>0</v>
      </c>
      <c r="AV8" s="21">
        <f t="shared" si="6"/>
        <v>0</v>
      </c>
      <c r="AW8" s="21">
        <f t="shared" si="6"/>
        <v>0</v>
      </c>
      <c r="AX8" s="21">
        <f t="shared" si="6"/>
        <v>0</v>
      </c>
      <c r="AY8" s="21">
        <f t="shared" si="6"/>
        <v>0</v>
      </c>
      <c r="AZ8" s="21">
        <f t="shared" si="6"/>
        <v>0</v>
      </c>
      <c r="BA8" s="21">
        <f t="shared" si="6"/>
        <v>0</v>
      </c>
      <c r="BB8" s="21">
        <f t="shared" si="6"/>
        <v>0</v>
      </c>
      <c r="BC8" s="21">
        <f t="shared" si="6"/>
        <v>0</v>
      </c>
      <c r="BD8" s="21">
        <f t="shared" si="6"/>
        <v>0</v>
      </c>
      <c r="BE8" s="21">
        <f t="shared" si="6"/>
        <v>0</v>
      </c>
      <c r="BF8" s="45">
        <f t="shared" si="6"/>
        <v>0</v>
      </c>
      <c r="BG8" s="45">
        <f t="shared" si="6"/>
        <v>0</v>
      </c>
      <c r="BH8" s="45">
        <f t="shared" si="6"/>
        <v>0</v>
      </c>
      <c r="BI8" s="45">
        <f t="shared" si="6"/>
        <v>0</v>
      </c>
      <c r="BJ8" s="45">
        <f t="shared" si="6"/>
        <v>0</v>
      </c>
      <c r="BK8" s="45">
        <f t="shared" si="6"/>
        <v>0</v>
      </c>
      <c r="BL8" s="45">
        <f t="shared" si="6"/>
        <v>0</v>
      </c>
      <c r="BM8" s="45">
        <f t="shared" si="6"/>
        <v>0</v>
      </c>
      <c r="BN8" s="45">
        <f t="shared" si="6"/>
        <v>0</v>
      </c>
      <c r="BO8" s="45">
        <f t="shared" si="6"/>
        <v>0</v>
      </c>
      <c r="BP8" s="45">
        <f t="shared" si="6"/>
        <v>0</v>
      </c>
      <c r="BQ8" s="45">
        <f t="shared" si="6"/>
        <v>0</v>
      </c>
      <c r="BR8" s="45">
        <f t="shared" si="6"/>
        <v>0</v>
      </c>
      <c r="BS8" s="45">
        <f t="shared" si="2"/>
        <v>0</v>
      </c>
      <c r="BT8" s="45">
        <f t="shared" ref="BT8:CG8" si="7">SUM(BT5:BT7)</f>
        <v>3774400</v>
      </c>
      <c r="BU8" s="45">
        <f t="shared" si="7"/>
        <v>0</v>
      </c>
      <c r="BV8" s="45">
        <f t="shared" si="7"/>
        <v>0</v>
      </c>
      <c r="BW8" s="45">
        <f t="shared" si="7"/>
        <v>0</v>
      </c>
      <c r="BX8" s="45">
        <f t="shared" si="7"/>
        <v>0</v>
      </c>
      <c r="BY8" s="45">
        <f t="shared" si="7"/>
        <v>0</v>
      </c>
      <c r="BZ8" s="45">
        <f t="shared" si="7"/>
        <v>0</v>
      </c>
      <c r="CA8" s="45">
        <f t="shared" si="7"/>
        <v>0</v>
      </c>
      <c r="CB8" s="45">
        <f t="shared" si="7"/>
        <v>0</v>
      </c>
      <c r="CC8" s="45">
        <f t="shared" si="7"/>
        <v>0</v>
      </c>
      <c r="CD8" s="45">
        <f t="shared" si="7"/>
        <v>0</v>
      </c>
      <c r="CE8" s="45">
        <f t="shared" si="7"/>
        <v>0</v>
      </c>
      <c r="CF8" s="45">
        <f t="shared" si="7"/>
        <v>3774400</v>
      </c>
      <c r="CG8" s="45">
        <f t="shared" si="7"/>
        <v>225000</v>
      </c>
      <c r="CH8" s="45">
        <f>CF8*100/(AS8+BF8-BS8+CG8)</f>
        <v>1.4147564396747108</v>
      </c>
      <c r="CI8" s="45">
        <f>+AS8+BF8-BS8-CF8+CG8</f>
        <v>263013571</v>
      </c>
    </row>
    <row r="9" spans="1:87" ht="24.6">
      <c r="A9" s="4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S9" s="2"/>
      <c r="BT9" s="2"/>
      <c r="BU9" s="2"/>
    </row>
    <row r="10" spans="1:87" ht="24.6">
      <c r="A10" s="41" t="s">
        <v>59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S10" s="2"/>
      <c r="BT10" s="2"/>
      <c r="BU10" s="2"/>
    </row>
    <row r="11" spans="1:87" ht="24.6">
      <c r="A11" s="65" t="s">
        <v>85</v>
      </c>
      <c r="B11" s="65"/>
      <c r="C11" s="65"/>
      <c r="D11" s="65"/>
      <c r="H11" s="2"/>
      <c r="I11" s="2"/>
      <c r="J11" s="2"/>
      <c r="K11" s="2"/>
      <c r="L11" s="2"/>
      <c r="M11" s="2"/>
      <c r="N11" s="2"/>
      <c r="O11" s="2">
        <f>+AO8</f>
        <v>61569789</v>
      </c>
      <c r="P11" s="44" t="str">
        <f>"("&amp;BAHTTEXT(B11)&amp;")"</f>
        <v>(ศูนย์บาทถ้วน)</v>
      </c>
      <c r="Q11" s="2"/>
      <c r="AB11" s="2" t="s">
        <v>60</v>
      </c>
      <c r="AC11" s="44" t="str">
        <f>"("&amp;BAHTTEXT(O11)&amp;")"</f>
        <v>(หกสิบเอ็ดล้านห้าแสนหกหมื่นเก้าพันเจ็ดร้อยแปดสิบเก้าบาทถ้วน)</v>
      </c>
      <c r="AD11" s="2"/>
      <c r="AO11" s="48">
        <f>+AR8-รายงานสถานะโครงการ!L42</f>
        <v>3549400</v>
      </c>
      <c r="AP11" s="48"/>
      <c r="AQ11" s="48"/>
      <c r="AY11" s="2"/>
      <c r="AZ11" s="2"/>
      <c r="BA11" s="2"/>
      <c r="BB11" s="2"/>
      <c r="BC11" s="2"/>
      <c r="BD11" s="2"/>
      <c r="BE11" s="2"/>
      <c r="BF11" s="2">
        <f>+CF8</f>
        <v>3774400</v>
      </c>
      <c r="BG11" s="44" t="str">
        <f>"("&amp;BAHTTEXT(AS11)&amp;")"</f>
        <v>(ศูนย์บาทถ้วน)</v>
      </c>
      <c r="BH11" s="2"/>
      <c r="BS11" s="2" t="s">
        <v>60</v>
      </c>
      <c r="BT11" s="44" t="str">
        <f>"("&amp;BAHTTEXT(BF11)&amp;")"</f>
        <v>(สามล้านเจ็ดแสนเจ็ดหมื่นสี่พันสี่ร้อยบาทถ้วน)</v>
      </c>
      <c r="BU11" s="2"/>
      <c r="CF11" s="48"/>
      <c r="CG11" s="48"/>
      <c r="CH11" s="48"/>
    </row>
    <row r="12" spans="1:87" ht="24.6">
      <c r="A12" s="65" t="s">
        <v>61</v>
      </c>
      <c r="B12" s="65"/>
      <c r="C12" s="65"/>
      <c r="D12" s="65"/>
      <c r="H12" s="2"/>
      <c r="I12" s="2"/>
      <c r="J12" s="2"/>
      <c r="K12" s="2"/>
      <c r="L12" s="2"/>
      <c r="M12" s="2"/>
      <c r="N12" s="2"/>
      <c r="O12" s="2">
        <f>+AR8</f>
        <v>266562971</v>
      </c>
      <c r="P12" s="44" t="str">
        <f>"("&amp;BAHTTEXT(B12)&amp;")"</f>
        <v>(ศูนย์บาทถ้วน)</v>
      </c>
      <c r="Q12" s="2"/>
      <c r="AB12" s="2" t="s">
        <v>60</v>
      </c>
      <c r="AC12" s="44" t="str">
        <f>"("&amp;BAHTTEXT(O12)&amp;")"</f>
        <v>(สองร้อยหกสิบหกล้านห้าแสนหกหมื่นสองพันเก้าร้อยเจ็ดสิบเอ็ดบาทถ้วน)</v>
      </c>
      <c r="AD12" s="2"/>
      <c r="AY12" s="2"/>
      <c r="AZ12" s="2"/>
      <c r="BA12" s="2"/>
      <c r="BB12" s="2"/>
      <c r="BC12" s="2"/>
      <c r="BD12" s="2"/>
      <c r="BE12" s="2"/>
      <c r="BF12" s="2">
        <f>+CI8</f>
        <v>263013571</v>
      </c>
      <c r="BG12" s="44" t="str">
        <f>"("&amp;BAHTTEXT(AS12)&amp;")"</f>
        <v>(ศูนย์บาทถ้วน)</v>
      </c>
      <c r="BH12" s="2"/>
      <c r="BS12" s="2" t="s">
        <v>60</v>
      </c>
      <c r="BT12" s="44" t="str">
        <f>"("&amp;BAHTTEXT(BF12)&amp;")"</f>
        <v>(สองร้อยหกสิบสามล้านหนึ่งหมื่นสามพันห้าร้อยเจ็ดสิบเอ็ดบาทถ้วน)</v>
      </c>
      <c r="BU12" s="2"/>
    </row>
    <row r="13" spans="1:87" ht="24.6">
      <c r="A13" s="4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S13" s="2"/>
      <c r="BT13" s="2"/>
      <c r="BU13" s="2"/>
    </row>
    <row r="14" spans="1:87" ht="24.6">
      <c r="A14" s="4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S14" s="2"/>
      <c r="BT14" s="2"/>
      <c r="BU14" s="2"/>
    </row>
    <row r="15" spans="1:87" ht="24.6">
      <c r="A15" s="41" t="s">
        <v>36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T15" s="48"/>
      <c r="AB15" s="42"/>
      <c r="AC15" s="42"/>
      <c r="AD15" s="42"/>
      <c r="AG15" s="48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K15" s="48"/>
      <c r="BS15" s="42"/>
      <c r="BT15" s="42"/>
      <c r="BU15" s="42"/>
      <c r="BX15" s="48"/>
    </row>
    <row r="16" spans="1:87" ht="24.6">
      <c r="A16" s="41" t="s">
        <v>75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AB16" s="42"/>
      <c r="AC16" s="42"/>
      <c r="AD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S16" s="42"/>
      <c r="BT16" s="42"/>
      <c r="BU16" s="42"/>
    </row>
    <row r="17" spans="1:73" ht="24.6">
      <c r="A17" s="41" t="s">
        <v>89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AB17" s="42"/>
      <c r="AC17" s="42"/>
      <c r="AD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S17" s="42"/>
      <c r="BT17" s="42"/>
      <c r="BU17" s="42"/>
    </row>
    <row r="18" spans="1:73" ht="24.6">
      <c r="A18" s="35" t="s">
        <v>37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AB18" s="42"/>
      <c r="AC18" s="42"/>
      <c r="AD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S18" s="42"/>
      <c r="BT18" s="42"/>
      <c r="BU18" s="42"/>
    </row>
    <row r="19" spans="1:73" ht="24.6">
      <c r="A19" s="35" t="s">
        <v>38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AB19" s="42"/>
      <c r="AC19" s="42"/>
      <c r="AD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S19" s="42"/>
      <c r="BT19" s="42"/>
      <c r="BU19" s="42"/>
    </row>
    <row r="20" spans="1:73" ht="24.6">
      <c r="A20" s="41" t="s">
        <v>90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AB20" s="42"/>
      <c r="AC20" s="42"/>
      <c r="AD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S20" s="42"/>
      <c r="BT20" s="42"/>
      <c r="BU20" s="42"/>
    </row>
    <row r="21" spans="1:73" ht="24.6">
      <c r="A21" s="35" t="s">
        <v>39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AB21" s="42"/>
      <c r="AC21" s="42"/>
      <c r="AD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S21" s="42"/>
      <c r="BT21" s="42"/>
      <c r="BU21" s="42"/>
    </row>
    <row r="22" spans="1:73" ht="24.6">
      <c r="A22" s="35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AB22" s="42"/>
      <c r="AC22" s="42"/>
      <c r="AD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S22" s="42"/>
      <c r="BT22" s="42"/>
      <c r="BU22" s="42"/>
    </row>
    <row r="23" spans="1:73" ht="24.6">
      <c r="A23" s="35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AB23" s="42"/>
      <c r="AC23" s="42"/>
      <c r="AD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S23" s="42"/>
      <c r="BT23" s="42"/>
      <c r="BU23" s="42"/>
    </row>
    <row r="24" spans="1:73" ht="24.6">
      <c r="A24" s="35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AB24" s="42"/>
      <c r="AC24" s="42"/>
      <c r="AD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S24" s="42"/>
      <c r="BT24" s="42"/>
      <c r="BU24" s="42"/>
    </row>
    <row r="25" spans="1:73" ht="24.6">
      <c r="A25" s="35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AB25" s="42"/>
      <c r="AC25" s="42"/>
      <c r="AD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S25" s="42"/>
      <c r="BT25" s="42"/>
      <c r="BU25" s="42"/>
    </row>
  </sheetData>
  <dataConsolidate/>
  <mergeCells count="23"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  <mergeCell ref="AT2:CI2"/>
    <mergeCell ref="AS3:AS4"/>
    <mergeCell ref="AT3:BE3"/>
    <mergeCell ref="BF3:BF4"/>
    <mergeCell ref="BG3:BR3"/>
    <mergeCell ref="BS3:BS4"/>
    <mergeCell ref="BT3:CE3"/>
    <mergeCell ref="CF3:CF4"/>
    <mergeCell ref="CG3:CG4"/>
    <mergeCell ref="CH3:CH4"/>
    <mergeCell ref="CI3:CI4"/>
  </mergeCells>
  <pageMargins left="0.56999999999999995" right="0.2" top="0.55000000000000004" bottom="0.75" header="0.3" footer="0.3"/>
  <pageSetup paperSize="9" scale="91" orientation="landscape" r:id="rId1"/>
  <ignoredErrors>
    <ignoredError sqref="AO5:AO7 O5 BF5:BF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2019-10-30T04:11:05Z</cp:lastPrinted>
  <dcterms:created xsi:type="dcterms:W3CDTF">2018-05-02T12:11:23Z</dcterms:created>
  <dcterms:modified xsi:type="dcterms:W3CDTF">2019-10-31T07:33:13Z</dcterms:modified>
</cp:coreProperties>
</file>