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7 งานเบิกจ่าย\00 งานเบิกจ่าย\รายงานภาพรวมทุกสิ้นเดือน\2562\08 ณ 31 ส.ค.62\"/>
    </mc:Choice>
  </mc:AlternateContent>
  <xr:revisionPtr revIDLastSave="0" documentId="13_ncr:1_{DA3C529C-2F3E-4368-9217-16AFEC791BEB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รายงานสถานะโครงการ" sheetId="1" r:id="rId1"/>
    <sheet name="ภาพรวมเบิกจ่าย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M7" i="2" l="1"/>
  <c r="K7" i="2"/>
  <c r="G30" i="1" l="1"/>
  <c r="L32" i="1" l="1"/>
  <c r="L33" i="1"/>
  <c r="L34" i="1"/>
  <c r="L35" i="1"/>
  <c r="L36" i="1"/>
  <c r="D33" i="1"/>
  <c r="D32" i="1"/>
  <c r="D31" i="1"/>
  <c r="H9" i="1" l="1"/>
  <c r="F13" i="1" l="1"/>
  <c r="D7" i="2"/>
  <c r="AH7" i="2"/>
  <c r="D29" i="1"/>
  <c r="F20" i="1" l="1"/>
  <c r="E20" i="1" l="1"/>
  <c r="AK5" i="2" l="1"/>
  <c r="I29" i="1"/>
  <c r="H29" i="1"/>
  <c r="D27" i="1" l="1"/>
  <c r="I24" i="1" l="1"/>
  <c r="H24" i="1"/>
  <c r="D24" i="1"/>
  <c r="J39" i="1" l="1"/>
  <c r="E39" i="1"/>
  <c r="F39" i="1"/>
  <c r="G39" i="1"/>
  <c r="D28" i="1" l="1"/>
  <c r="D23" i="1"/>
  <c r="D22" i="1"/>
  <c r="D26" i="1"/>
  <c r="L29" i="1"/>
  <c r="L28" i="1"/>
  <c r="I26" i="1"/>
  <c r="H26" i="1"/>
  <c r="L27" i="1" l="1"/>
  <c r="L26" i="1" s="1"/>
  <c r="J17" i="1"/>
  <c r="J16" i="1"/>
  <c r="J14" i="1" s="1"/>
  <c r="J20" i="1" s="1"/>
  <c r="L37" i="1" l="1"/>
  <c r="L31" i="1"/>
  <c r="L25" i="1"/>
  <c r="I30" i="1"/>
  <c r="D36" i="1"/>
  <c r="D30" i="1" s="1"/>
  <c r="D37" i="1"/>
  <c r="I38" i="1"/>
  <c r="L24" i="1"/>
  <c r="H38" i="1"/>
  <c r="H30" i="1" s="1"/>
  <c r="L30" i="1" l="1"/>
  <c r="D21" i="1"/>
  <c r="D39" i="1" s="1"/>
  <c r="C39" i="1"/>
  <c r="I21" i="1" l="1"/>
  <c r="I39" i="1" l="1"/>
  <c r="K39" i="1" s="1"/>
  <c r="AP5" i="2"/>
  <c r="AI5" i="2"/>
  <c r="O39" i="1" l="1"/>
  <c r="AI6" i="2"/>
  <c r="H12" i="1" l="1"/>
  <c r="H11" i="1"/>
  <c r="H8" i="1"/>
  <c r="H7" i="1"/>
  <c r="O5" i="2" l="1"/>
  <c r="AP8" i="2"/>
  <c r="AB6" i="2"/>
  <c r="AB7" i="2"/>
  <c r="AB5" i="2"/>
  <c r="P12" i="2"/>
  <c r="P11" i="2"/>
  <c r="AA8" i="2"/>
  <c r="Z8" i="2"/>
  <c r="Y8" i="2"/>
  <c r="X8" i="2"/>
  <c r="W8" i="2"/>
  <c r="V8" i="2"/>
  <c r="U8" i="2"/>
  <c r="T8" i="2"/>
  <c r="S8" i="2"/>
  <c r="R8" i="2"/>
  <c r="Q8" i="2"/>
  <c r="P8" i="2"/>
  <c r="AB8" i="2" l="1"/>
  <c r="L15" i="1" l="1"/>
  <c r="L16" i="1"/>
  <c r="L18" i="1"/>
  <c r="L19" i="1"/>
  <c r="L8" i="1"/>
  <c r="L9" i="1"/>
  <c r="L12" i="1"/>
  <c r="J40" i="1"/>
  <c r="L38" i="1" l="1"/>
  <c r="E8" i="2" l="1"/>
  <c r="F8" i="2"/>
  <c r="G8" i="2"/>
  <c r="H8" i="2"/>
  <c r="I8" i="2"/>
  <c r="J8" i="2"/>
  <c r="K8" i="2"/>
  <c r="L8" i="2"/>
  <c r="M8" i="2"/>
  <c r="N8" i="2"/>
  <c r="C8" i="2"/>
  <c r="O7" i="2"/>
  <c r="D6" i="2"/>
  <c r="O6" i="2" s="1"/>
  <c r="O8" i="2" l="1"/>
  <c r="D8" i="2"/>
  <c r="AO6" i="2" l="1"/>
  <c r="AO7" i="2"/>
  <c r="AQ7" i="2" s="1"/>
  <c r="AO5" i="2"/>
  <c r="AC8" i="2"/>
  <c r="AD8" i="2"/>
  <c r="AE8" i="2"/>
  <c r="AF8" i="2"/>
  <c r="AG8" i="2"/>
  <c r="AH8" i="2"/>
  <c r="AI8" i="2"/>
  <c r="AJ8" i="2"/>
  <c r="AK8" i="2"/>
  <c r="AL8" i="2"/>
  <c r="AM8" i="2"/>
  <c r="AQ5" i="2" l="1"/>
  <c r="AR5" i="2"/>
  <c r="AR7" i="2"/>
  <c r="AQ6" i="2"/>
  <c r="AR6" i="2"/>
  <c r="AO8" i="2"/>
  <c r="B8" i="2"/>
  <c r="AR8" i="2" l="1"/>
  <c r="O12" i="2" s="1"/>
  <c r="AC12" i="2" s="1"/>
  <c r="AQ8" i="2"/>
  <c r="O11" i="2"/>
  <c r="AC11" i="2" s="1"/>
  <c r="AN8" i="2"/>
  <c r="E13" i="1" l="1"/>
  <c r="L23" i="1" l="1"/>
  <c r="L11" i="1" l="1"/>
  <c r="L7" i="1"/>
  <c r="L22" i="1" l="1"/>
  <c r="L21" i="1" s="1"/>
  <c r="L39" i="1" s="1"/>
  <c r="H21" i="1"/>
  <c r="H39" i="1" s="1"/>
  <c r="E40" i="1"/>
  <c r="C40" i="1"/>
  <c r="I14" i="1"/>
  <c r="I17" i="1"/>
  <c r="H17" i="1"/>
  <c r="L17" i="1" s="1"/>
  <c r="D17" i="1"/>
  <c r="H14" i="1"/>
  <c r="D14" i="1"/>
  <c r="G20" i="1"/>
  <c r="N39" i="1" l="1"/>
  <c r="M39" i="1"/>
  <c r="I20" i="1"/>
  <c r="L14" i="1"/>
  <c r="H20" i="1"/>
  <c r="D20" i="1"/>
  <c r="H6" i="1"/>
  <c r="H13" i="1" s="1"/>
  <c r="I6" i="1"/>
  <c r="I13" i="1" s="1"/>
  <c r="I10" i="1"/>
  <c r="H10" i="1"/>
  <c r="K20" i="1" l="1"/>
  <c r="M20" i="1" s="1"/>
  <c r="O20" i="1"/>
  <c r="L6" i="1"/>
  <c r="L10" i="1"/>
  <c r="N20" i="1"/>
  <c r="G13" i="1"/>
  <c r="F40" i="1"/>
  <c r="D40" i="1"/>
  <c r="O13" i="1"/>
  <c r="L20" i="1" l="1"/>
  <c r="O40" i="1"/>
  <c r="K13" i="1"/>
  <c r="L13" i="1" s="1"/>
  <c r="G40" i="1"/>
  <c r="I40" i="1"/>
  <c r="N13" i="1"/>
  <c r="N40" i="1" s="1"/>
  <c r="H40" i="1"/>
  <c r="L40" i="1" l="1"/>
  <c r="AO11" i="2" s="1"/>
  <c r="M13" i="1"/>
  <c r="K40" i="1"/>
  <c r="M4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tc={926571A8-ECAD-4E8D-A2CB-973D2C4D6E6C}</author>
  </authors>
  <commentList>
    <comment ref="J16" authorId="0" shapeId="0" xr:uid="{926571A8-ECAD-4E8D-A2CB-973D2C4D6E6C}">
      <text>
        <t>[Threaded comment]
Your version of Excel allows you to read this threaded comment; however, any edits to it will get removed if the file is opened in a newer version of Excel. Learn more: https://go.microsoft.com/fwlink/?linkid=870924
Comment:
    รับเงินคืน 15,700.- ดังนี้
-ลาดพร้าวร่วมใจ : 12,500.-
-สนามมวย ทอ. : 25,000.-
-เรียกเงินคืนค่าพวงหลีด : 700.-</t>
      </text>
    </comment>
  </commentList>
</comments>
</file>

<file path=xl/sharedStrings.xml><?xml version="1.0" encoding="utf-8"?>
<sst xmlns="http://schemas.openxmlformats.org/spreadsheetml/2006/main" count="136" uniqueCount="97">
  <si>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</si>
  <si>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</si>
  <si>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</si>
  <si>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</si>
  <si>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</si>
  <si>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</si>
  <si>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</si>
  <si>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</si>
  <si>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</si>
  <si>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</si>
  <si>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</si>
  <si>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</si>
  <si>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</si>
  <si>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</si>
  <si>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</si>
  <si>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</si>
  <si>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</si>
  <si>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</si>
  <si>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</si>
  <si>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</si>
  <si>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</si>
  <si>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</si>
  <si>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</si>
  <si>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</si>
  <si>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</si>
  <si>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</si>
  <si>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</si>
  <si>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</si>
  <si>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(นายธนัช นฤพรพงศ์)</t>
  </si>
  <si>
    <t>ผู้ช่วยผู้อำนวยการ</t>
  </si>
  <si>
    <t>ผู้จัดทำ</t>
  </si>
  <si>
    <t>ผู้ตรวจสอบ</t>
  </si>
  <si>
    <t>ค่าสนับสนุนกลไกติดตามประเมินผล</t>
  </si>
  <si>
    <t>ค่าเช่าบ้านเพิ่มเติมและบริหารจัดการสผ.</t>
  </si>
  <si>
    <t>........../............../...........</t>
  </si>
  <si>
    <t>งบบริหารจัดการ (สผ. ส่วนกลาง)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</si>
  <si>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</si>
  <si>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</si>
  <si>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</si>
  <si>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</si>
  <si>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</si>
  <si>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</si>
  <si>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</si>
  <si>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</si>
  <si>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</si>
  <si>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1.งบช่วยเหลือและสนับสนุนการพัฒนาชุมชนริมคลอง ค86700</t>
  </si>
  <si>
    <t>งบประมาณปี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</si>
  <si>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</si>
  <si>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</si>
  <si>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</si>
  <si>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</si>
  <si>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</si>
  <si>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</si>
  <si>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</si>
  <si>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</si>
  <si>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</si>
  <si>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</si>
  <si>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</si>
  <si>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</si>
  <si>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</si>
  <si>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</si>
  <si>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</si>
  <si>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</si>
  <si>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</si>
  <si>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</si>
  <si>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</si>
  <si>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</si>
  <si>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</si>
  <si>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(นางสาวพัชรินทร์ จริงสุระ)</t>
  </si>
  <si>
    <t>อนุมัติระหว่างปี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</si>
  <si>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</si>
  <si>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บริหารงานทั่วไป</t>
  </si>
  <si>
    <t>การเบิกจ่ายจริง</t>
  </si>
  <si>
    <t>คงเหลือ
รอเบิกจ่าย</t>
  </si>
  <si>
    <t>อยู่ระหว่างการรับคืนเงินจากชุมชน</t>
  </si>
  <si>
    <t>(นางสาวณัฐวสา ใจชื่น)</t>
  </si>
  <si>
    <t>หัวหน้างานบริหารสำนักงาน</t>
  </si>
  <si>
    <t>คืนงบประมาณระหว่างปี</t>
  </si>
  <si>
    <t>รับคืนเงินจากชุมชน</t>
  </si>
  <si>
    <t>ร้อยละเบิกจ่าย</t>
  </si>
  <si>
    <t>งบประมาณปี 2560 ดำเนินการปี 2560 - 2562</t>
  </si>
  <si>
    <t>งบประมาณปี 2561 ดำเนินการปี 2561 - 2562</t>
  </si>
  <si>
    <t>1. งบสนับสนุนคลองลาดพร้าว (ค86700)</t>
  </si>
  <si>
    <t>งบบริหารจัดการ (สผ. ชุมชน)</t>
  </si>
  <si>
    <t>2. งบสนับสนุนคลองลาดพร้าว (ค86700)</t>
  </si>
  <si>
    <t>3. งบสนับสนุนคลองเปรม (ค86700)</t>
  </si>
  <si>
    <t>ปีงบประมาณ</t>
  </si>
  <si>
    <t>งบประมาณปี 2557-2559 ดำเนินการปี 2560 และ 2562 (งบบ้านมั่นคง)</t>
  </si>
  <si>
    <t>งบบริหารจัดการ (เครือข่าย/ศปก.ทชค.)</t>
  </si>
  <si>
    <t>งบบริหารจัดการ (สผ.ส่วนกลาง/ชุมชน)</t>
  </si>
  <si>
    <t>ประจำเดือน สิงหาคม 2562</t>
  </si>
  <si>
    <t>สาธารณูปโภค (50,000)</t>
  </si>
  <si>
    <t>ช่วยเหลือผู้ได้รับผลกระทบ (72,000)</t>
  </si>
  <si>
    <t>อุดหนุนเพื่อที่อยู่อาศัย (25,000)</t>
  </si>
  <si>
    <t>งบบริหารจัดการ 5%</t>
  </si>
  <si>
    <t>ภาพรวมผลการเบิกจ่ายรายเดือน ณ วันที่ 31 สิงหาคม 2562</t>
  </si>
  <si>
    <t>ณ วันที่ 31 สิงหาคม 2562 มีการเบิกจ่ายงบประมาณรวม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</si>
</sst>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8"/>
      <color theme="1"/>
      <name val="TH SarabunPSK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18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43" fontId="3" fillId="34" borderId="11" xfId="1" applyFont="1" applyFill="1" applyBorder="1" applyAlignment="1">
      <alignment horizontal="center" vertical="center"/>
    </xf>
    <xf numFmtId="43" fontId="3" fillId="0" borderId="11" xfId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43" fontId="3" fillId="33" borderId="11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43" fontId="0" fillId="0" borderId="0" xfId="0" applyNumberFormat="1"/>
    <xf numFmtId="43" fontId="2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43" fontId="3" fillId="0" borderId="0" xfId="1" applyFont="1"/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43" fontId="2" fillId="0" borderId="11" xfId="1" applyFont="1" applyBorder="1" applyAlignment="1">
      <alignment vertical="center"/>
    </xf>
    <xf numFmtId="43" fontId="4" fillId="34" borderId="11" xfId="0" applyNumberFormat="1" applyFont="1" applyFill="1" applyBorder="1"/>
    <xf numFmtId="43" fontId="4" fillId="36" borderId="11" xfId="0" applyNumberFormat="1" applyFont="1" applyFill="1" applyBorder="1"/>
    <xf numFmtId="0" fontId="3" fillId="0" borderId="11" xfId="0" applyFont="1" applyBorder="1" applyAlignment="1">
      <alignment vertical="top"/>
    </xf>
    <xf numFmtId="0" fontId="2" fillId="39" borderId="11" xfId="0" applyFont="1" applyFill="1" applyBorder="1" applyAlignment="1">
      <alignment horizontal="left" indent="1"/>
    </xf>
    <xf numFmtId="166" fontId="2" fillId="39" borderId="11" xfId="1" applyNumberFormat="1" applyFont="1" applyFill="1" applyBorder="1"/>
    <xf numFmtId="43" fontId="2" fillId="39" borderId="0" xfId="0" applyNumberFormat="1" applyFont="1" applyFill="1"/>
    <xf numFmtId="43" fontId="2" fillId="39" borderId="11" xfId="1" applyFont="1" applyFill="1" applyBorder="1"/>
    <xf numFmtId="0" fontId="2" fillId="39" borderId="11" xfId="0" applyFont="1" applyFill="1" applyBorder="1"/>
    <xf numFmtId="43" fontId="3" fillId="33" borderId="11" xfId="1" applyFont="1" applyFill="1" applyBorder="1" applyAlignment="1">
      <alignment horizontal="center" vertical="center"/>
    </xf>
    <xf numFmtId="166" fontId="3" fillId="40" borderId="11" xfId="1" applyNumberFormat="1" applyFont="1" applyFill="1" applyBorder="1"/>
    <xf numFmtId="0" fontId="24" fillId="0" borderId="10" xfId="0" applyFont="1" applyBorder="1" applyAlignment="1">
      <alignment horizontal="center"/>
    </xf>
    <xf numFmtId="43" fontId="3" fillId="34" borderId="11" xfId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43" fontId="3" fillId="38" borderId="18" xfId="1" applyFont="1" applyFill="1" applyBorder="1" applyAlignment="1">
      <alignment horizontal="center" vertical="center"/>
    </xf>
    <xf numFmtId="43" fontId="3" fillId="38" borderId="19" xfId="1" applyFont="1" applyFill="1" applyBorder="1" applyAlignment="1">
      <alignment horizontal="center" vertical="center"/>
    </xf>
    <xf numFmtId="43" fontId="3" fillId="38" borderId="20" xfId="1" applyFont="1" applyFill="1" applyBorder="1" applyAlignment="1">
      <alignment horizontal="center" vertical="center"/>
    </xf>
    <xf numFmtId="43" fontId="3" fillId="38" borderId="21" xfId="1" applyFont="1" applyFill="1" applyBorder="1" applyAlignment="1">
      <alignment horizontal="center" vertical="center"/>
    </xf>
    <xf numFmtId="43" fontId="3" fillId="38" borderId="22" xfId="1" applyFont="1" applyFill="1" applyBorder="1" applyAlignment="1">
      <alignment horizontal="center" vertical="center"/>
    </xf>
    <xf numFmtId="43" fontId="3" fillId="38" borderId="23" xfId="1" applyFont="1" applyFill="1" applyBorder="1" applyAlignment="1">
      <alignment horizontal="center" vertic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43" fontId="2" fillId="0" borderId="0" xfId="1" applyFont="1" applyAlignment="1">
      <alignment horizontal="center"/>
    </xf>
    <xf numFmtId="0" fontId="2" fillId="0" borderId="0" xfId="52" applyFont="1" applyAlignment="1">
      <alignment horizontal="center"/>
    </xf>
    <xf numFmtId="14" fontId="2" fillId="0" borderId="0" xfId="52" applyNumberFormat="1" applyFont="1" applyAlignment="1">
      <alignment horizontal="center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5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 wrapText="1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3" borderId="14" xfId="1" applyFont="1" applyFill="1" applyBorder="1" applyAlignment="1">
      <alignment horizontal="center" vertical="center" wrapText="1"/>
    </xf>
    <xf numFmtId="43" fontId="3" fillId="33" borderId="16" xfId="1" applyFont="1" applyFill="1" applyBorder="1" applyAlignment="1">
      <alignment horizontal="center" vertical="center" wrapText="1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5" borderId="12" xfId="1" applyFont="1" applyFill="1" applyBorder="1" applyAlignment="1">
      <alignment horizontal="center" vertical="center"/>
    </xf>
    <xf numFmtId="43" fontId="3" fillId="35" borderId="17" xfId="1" applyFont="1" applyFill="1" applyBorder="1" applyAlignment="1">
      <alignment horizontal="center" vertical="center"/>
    </xf>
    <xf numFmtId="43" fontId="3" fillId="35" borderId="13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7" xfId="1" applyFont="1" applyFill="1" applyBorder="1" applyAlignment="1">
      <alignment horizontal="center" vertical="center"/>
    </xf>
    <xf numFmtId="43" fontId="3" fillId="33" borderId="13" xfId="1" applyFont="1" applyFill="1" applyBorder="1" applyAlignment="1">
      <alignment horizontal="center" vertical="center"/>
    </xf>
    <xf numFmtId="43" fontId="3" fillId="33" borderId="19" xfId="1" applyFont="1" applyFill="1" applyBorder="1" applyAlignment="1">
      <alignment horizontal="center" vertical="center"/>
    </xf>
    <xf numFmtId="43" fontId="3" fillId="33" borderId="23" xfId="1" applyFont="1" applyFill="1" applyBorder="1" applyAlignment="1">
      <alignment horizontal="center" vertical="center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ณัฐวสา ใจชื่น" id="{50254115-CD56-4B11-ADFA-B7825DE1E7BF}" userId="ณัฐวสา ใจชื่น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6" dT="2019-06-18T05:36:09.04" personId="{50254115-CD56-4B11-ADFA-B7825DE1E7BF}" id="{926571A8-ECAD-4E8D-A2CB-973D2C4D6E6C}">
    <text>รับเงินคืน 15,700.- ดังนี้
-ลาดพร้าวร่วมใจ : 12,500.-
-สนามมวย ทอ. : 25,000.-
-เรียกเงินคืนค่าพวงหลีด : 700.-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7"/>
  <sheetViews>
    <sheetView tabSelected="1" zoomScale="70" zoomScaleNormal="70" workbookViewId="0">
      <pane xSplit="2" ySplit="5" topLeftCell="C21" activePane="bottomRight" state="frozen"/>
      <selection pane="topRight" activeCell="C1" sqref="C1"/>
      <selection pane="bottomLeft" activeCell="A4" sqref="A4"/>
      <selection pane="bottomRight" activeCell="G34" sqref="G34"/>
    </sheetView>
  </sheetViews>
  <sheetFormatPr defaultColWidth="8.85546875" defaultRowHeight="24" outlineLevelRow="1"/>
  <cols>
    <col min="1" max="1" width="13.5703125" style="1" customWidth="1"/>
    <col min="2" max="2" width="38.42578125" style="1" customWidth="1"/>
    <col min="3" max="3" width="10.140625" style="3" customWidth="1"/>
    <col min="4" max="4" width="20.28515625" style="2" customWidth="1"/>
    <col min="5" max="7" width="8.5703125" style="3" bestFit="1" customWidth="1"/>
    <col min="8" max="8" width="18.5703125" style="2" bestFit="1" customWidth="1"/>
    <col min="9" max="9" width="18.7109375" style="2" customWidth="1"/>
    <col min="10" max="10" width="17.5703125" style="2" customWidth="1"/>
    <col min="11" max="12" width="18.5703125" style="2" bestFit="1" customWidth="1"/>
    <col min="13" max="13" width="11.28515625" style="1" customWidth="1"/>
    <col min="14" max="15" width="18.28515625" style="2" customWidth="1"/>
    <col min="16" max="16" width="18.5703125" style="1" bestFit="1" customWidth="1"/>
    <col min="17" max="17" width="17.7109375" style="1" bestFit="1" customWidth="1"/>
    <col min="18" max="18" width="14" style="2" bestFit="1" customWidth="1"/>
    <col min="19" max="19" width="12.28515625" style="1" bestFit="1" customWidth="1"/>
    <col min="20" max="20" width="14.7109375" style="1" bestFit="1" customWidth="1"/>
    <col min="21" max="16384" width="8.85546875" style="1"/>
  </cols>
  <sheetData>
    <row r="1" spans="1:20" ht="27.75">
      <c r="A1" s="86" t="s">
        <v>26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</row>
    <row r="2" spans="1:20" ht="27.75">
      <c r="A2" s="67" t="s">
        <v>90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</row>
    <row r="3" spans="1:20" s="4" customFormat="1" ht="18.600000000000001" customHeight="1">
      <c r="A3" s="75" t="s">
        <v>86</v>
      </c>
      <c r="B3" s="74" t="s">
        <v>1</v>
      </c>
      <c r="C3" s="84" t="s">
        <v>11</v>
      </c>
      <c r="D3" s="85"/>
      <c r="E3" s="77" t="s">
        <v>12</v>
      </c>
      <c r="F3" s="77"/>
      <c r="G3" s="77"/>
      <c r="H3" s="77"/>
      <c r="I3" s="68" t="s">
        <v>17</v>
      </c>
      <c r="J3" s="68" t="s">
        <v>16</v>
      </c>
      <c r="K3" s="90" t="s">
        <v>72</v>
      </c>
      <c r="L3" s="90" t="s">
        <v>73</v>
      </c>
      <c r="M3" s="75" t="s">
        <v>18</v>
      </c>
      <c r="N3" s="68" t="s">
        <v>27</v>
      </c>
      <c r="O3" s="68" t="s">
        <v>36</v>
      </c>
      <c r="R3" s="50"/>
    </row>
    <row r="4" spans="1:20" s="4" customFormat="1">
      <c r="A4" s="74"/>
      <c r="B4" s="74"/>
      <c r="C4" s="77" t="s">
        <v>9</v>
      </c>
      <c r="D4" s="76" t="s">
        <v>10</v>
      </c>
      <c r="E4" s="77" t="s">
        <v>9</v>
      </c>
      <c r="F4" s="77"/>
      <c r="G4" s="77"/>
      <c r="H4" s="68" t="s">
        <v>19</v>
      </c>
      <c r="I4" s="76"/>
      <c r="J4" s="76"/>
      <c r="K4" s="91"/>
      <c r="L4" s="91"/>
      <c r="M4" s="75"/>
      <c r="N4" s="68"/>
      <c r="O4" s="68"/>
      <c r="R4" s="50"/>
    </row>
    <row r="5" spans="1:20" s="4" customFormat="1">
      <c r="A5" s="74"/>
      <c r="B5" s="74"/>
      <c r="C5" s="77"/>
      <c r="D5" s="76"/>
      <c r="E5" s="7" t="s">
        <v>13</v>
      </c>
      <c r="F5" s="7" t="s">
        <v>14</v>
      </c>
      <c r="G5" s="7" t="s">
        <v>15</v>
      </c>
      <c r="H5" s="76"/>
      <c r="I5" s="76"/>
      <c r="J5" s="76"/>
      <c r="K5" s="92"/>
      <c r="L5" s="92"/>
      <c r="M5" s="75"/>
      <c r="N5" s="68"/>
      <c r="O5" s="68"/>
      <c r="R5" s="50"/>
    </row>
    <row r="6" spans="1:20" s="5" customFormat="1">
      <c r="A6" s="93">
        <v>2559</v>
      </c>
      <c r="B6" s="8" t="s">
        <v>0</v>
      </c>
      <c r="C6" s="9"/>
      <c r="D6" s="10"/>
      <c r="E6" s="9"/>
      <c r="F6" s="9"/>
      <c r="G6" s="9"/>
      <c r="H6" s="10">
        <f>SUM(H7:H9)</f>
        <v>64182200</v>
      </c>
      <c r="I6" s="10">
        <f t="shared" ref="I6" si="0">SUM(I7:I9)</f>
        <v>100146408</v>
      </c>
      <c r="J6" s="78" t="s">
        <v>74</v>
      </c>
      <c r="K6" s="79"/>
      <c r="L6" s="10">
        <f>SUM(H6-I6)</f>
        <v>-35964208</v>
      </c>
      <c r="M6" s="8"/>
      <c r="N6" s="10"/>
      <c r="O6" s="10"/>
      <c r="R6" s="51"/>
    </row>
    <row r="7" spans="1:20" ht="24.6" customHeight="1" outlineLevel="1">
      <c r="A7" s="94"/>
      <c r="B7" s="11" t="s">
        <v>3</v>
      </c>
      <c r="C7" s="12"/>
      <c r="D7" s="13"/>
      <c r="E7" s="12"/>
      <c r="F7" s="12"/>
      <c r="G7" s="12"/>
      <c r="H7" s="13">
        <f>193770000-151781800</f>
        <v>41988200</v>
      </c>
      <c r="I7" s="13">
        <v>65932858</v>
      </c>
      <c r="J7" s="80"/>
      <c r="K7" s="81"/>
      <c r="L7" s="56">
        <f t="shared" ref="L7:L12" si="1">SUM(H7-I7)</f>
        <v>-23944658</v>
      </c>
      <c r="M7" s="14"/>
      <c r="N7" s="13"/>
      <c r="O7" s="13"/>
    </row>
    <row r="8" spans="1:20" ht="24.6" customHeight="1" outlineLevel="1">
      <c r="A8" s="94"/>
      <c r="B8" s="11" t="s">
        <v>2</v>
      </c>
      <c r="C8" s="12"/>
      <c r="D8" s="13"/>
      <c r="E8" s="12"/>
      <c r="F8" s="12"/>
      <c r="G8" s="12"/>
      <c r="H8" s="13">
        <f>97210000-76810000</f>
        <v>20400000</v>
      </c>
      <c r="I8" s="13">
        <v>31835000</v>
      </c>
      <c r="J8" s="80"/>
      <c r="K8" s="81"/>
      <c r="L8" s="56">
        <f t="shared" si="1"/>
        <v>-11435000</v>
      </c>
      <c r="M8" s="14"/>
      <c r="N8" s="13"/>
      <c r="O8" s="13"/>
    </row>
    <row r="9" spans="1:20" ht="24.6" customHeight="1" outlineLevel="1">
      <c r="A9" s="94"/>
      <c r="B9" s="11" t="s">
        <v>4</v>
      </c>
      <c r="C9" s="12"/>
      <c r="D9" s="13"/>
      <c r="E9" s="12"/>
      <c r="F9" s="12"/>
      <c r="G9" s="12"/>
      <c r="H9" s="13">
        <f>7677000-5868000-15000</f>
        <v>1794000</v>
      </c>
      <c r="I9" s="13">
        <v>2378550</v>
      </c>
      <c r="J9" s="80"/>
      <c r="K9" s="81"/>
      <c r="L9" s="56">
        <f t="shared" si="1"/>
        <v>-584550</v>
      </c>
      <c r="M9" s="14"/>
      <c r="N9" s="13"/>
      <c r="O9" s="13"/>
      <c r="Q9" s="33"/>
    </row>
    <row r="10" spans="1:20" s="6" customFormat="1">
      <c r="A10" s="94"/>
      <c r="B10" s="15" t="s">
        <v>7</v>
      </c>
      <c r="C10" s="16"/>
      <c r="D10" s="17"/>
      <c r="E10" s="16"/>
      <c r="F10" s="16"/>
      <c r="G10" s="16"/>
      <c r="H10" s="17">
        <f>SUM(H11:H12)</f>
        <v>115886860.96000001</v>
      </c>
      <c r="I10" s="17">
        <f t="shared" ref="I10" si="2">SUM(I11:I12)</f>
        <v>122789729.96000001</v>
      </c>
      <c r="J10" s="80"/>
      <c r="K10" s="81"/>
      <c r="L10" s="10">
        <f t="shared" si="1"/>
        <v>-6902869</v>
      </c>
      <c r="M10" s="15"/>
      <c r="N10" s="17"/>
      <c r="O10" s="17"/>
      <c r="R10" s="52"/>
    </row>
    <row r="11" spans="1:20" ht="24.6" customHeight="1" outlineLevel="1">
      <c r="A11" s="94"/>
      <c r="B11" s="11" t="s">
        <v>5</v>
      </c>
      <c r="C11" s="12"/>
      <c r="D11" s="13"/>
      <c r="E11" s="12"/>
      <c r="F11" s="12"/>
      <c r="G11" s="12"/>
      <c r="H11" s="13">
        <f>357298850-266018850</f>
        <v>91280000</v>
      </c>
      <c r="I11" s="13">
        <v>106040000</v>
      </c>
      <c r="J11" s="80"/>
      <c r="K11" s="81"/>
      <c r="L11" s="56">
        <f t="shared" si="1"/>
        <v>-14760000</v>
      </c>
      <c r="M11" s="14"/>
      <c r="N11" s="13"/>
      <c r="O11" s="13"/>
    </row>
    <row r="12" spans="1:20" ht="24.6" customHeight="1" outlineLevel="1">
      <c r="A12" s="94"/>
      <c r="B12" s="11" t="s">
        <v>6</v>
      </c>
      <c r="C12" s="12"/>
      <c r="D12" s="13"/>
      <c r="E12" s="12"/>
      <c r="F12" s="12"/>
      <c r="G12" s="12"/>
      <c r="H12" s="13">
        <f>25056860.96-450000</f>
        <v>24606860.960000001</v>
      </c>
      <c r="I12" s="13">
        <v>16749729.960000001</v>
      </c>
      <c r="J12" s="82"/>
      <c r="K12" s="83"/>
      <c r="L12" s="56">
        <f t="shared" si="1"/>
        <v>7857131</v>
      </c>
      <c r="M12" s="14"/>
      <c r="N12" s="13"/>
      <c r="O12" s="13"/>
    </row>
    <row r="13" spans="1:20" s="6" customFormat="1" ht="26.25">
      <c r="A13" s="95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>+H6+H10</f>
        <v>180069060.96000001</v>
      </c>
      <c r="I13" s="24">
        <f>+I6+I10</f>
        <v>222936137.96000001</v>
      </c>
      <c r="J13" s="24">
        <v>36264158</v>
      </c>
      <c r="K13" s="24">
        <f>+I13-J13</f>
        <v>186671979.96000001</v>
      </c>
      <c r="L13" s="24">
        <f>SUM(H13-K13-1118200)</f>
        <v>-7721119</v>
      </c>
      <c r="M13" s="25">
        <f>+K13*100/H13</f>
        <v>103.66688145359227</v>
      </c>
      <c r="N13" s="24">
        <f>+D13-H13</f>
        <v>124730939.03999999</v>
      </c>
      <c r="O13" s="24">
        <f>+D13-I13+J13</f>
        <v>118128020.03999999</v>
      </c>
      <c r="R13" s="52"/>
    </row>
    <row r="14" spans="1:20" s="6" customFormat="1" ht="24" customHeight="1">
      <c r="A14" s="96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I14" si="3">SUM(H15:H16)</f>
        <v>563050712</v>
      </c>
      <c r="I14" s="17">
        <f t="shared" si="3"/>
        <v>402960061</v>
      </c>
      <c r="J14" s="17">
        <f>SUM(J15:J16)</f>
        <v>15700</v>
      </c>
      <c r="K14" s="17"/>
      <c r="L14" s="17">
        <f>+H14-I14</f>
        <v>160090651</v>
      </c>
      <c r="M14" s="15"/>
      <c r="N14" s="18"/>
      <c r="O14" s="18"/>
      <c r="R14" s="52"/>
    </row>
    <row r="15" spans="1:20" ht="24" customHeight="1" outlineLevel="1">
      <c r="A15" s="97"/>
      <c r="B15" s="19" t="s">
        <v>20</v>
      </c>
      <c r="C15" s="12"/>
      <c r="D15" s="13">
        <v>338112000</v>
      </c>
      <c r="E15" s="12"/>
      <c r="F15" s="12"/>
      <c r="G15" s="12"/>
      <c r="H15" s="13">
        <v>270683712</v>
      </c>
      <c r="I15" s="13">
        <v>170729311</v>
      </c>
      <c r="J15" s="13"/>
      <c r="K15" s="13"/>
      <c r="L15" s="13">
        <f t="shared" ref="L15:L19" si="4">+H15-I15</f>
        <v>99954401</v>
      </c>
      <c r="M15" s="14"/>
      <c r="N15" s="13"/>
      <c r="O15" s="13"/>
      <c r="Q15" s="33"/>
      <c r="T15" s="33"/>
    </row>
    <row r="16" spans="1:20" ht="24" customHeight="1" outlineLevel="1">
      <c r="A16" s="97"/>
      <c r="B16" s="11" t="s">
        <v>21</v>
      </c>
      <c r="C16" s="12"/>
      <c r="D16" s="13">
        <v>365841600</v>
      </c>
      <c r="E16" s="12"/>
      <c r="F16" s="12"/>
      <c r="G16" s="12"/>
      <c r="H16" s="13">
        <v>292367000</v>
      </c>
      <c r="I16" s="13">
        <v>232230750</v>
      </c>
      <c r="J16" s="13">
        <f>2500+12500+700</f>
        <v>15700</v>
      </c>
      <c r="K16" s="13"/>
      <c r="L16" s="13">
        <f t="shared" si="4"/>
        <v>60136250</v>
      </c>
      <c r="M16" s="14"/>
      <c r="N16" s="13"/>
      <c r="O16" s="13"/>
      <c r="P16" s="33"/>
      <c r="T16" s="33"/>
    </row>
    <row r="17" spans="1:18" s="6" customFormat="1" ht="24" customHeight="1">
      <c r="A17" s="97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I17" si="5">SUM(H18:H19)</f>
        <v>47406400</v>
      </c>
      <c r="I17" s="17">
        <f t="shared" si="5"/>
        <v>47406400</v>
      </c>
      <c r="J17" s="17">
        <f>SUM(J18:J19)</f>
        <v>0</v>
      </c>
      <c r="K17" s="17"/>
      <c r="L17" s="17">
        <f t="shared" si="4"/>
        <v>0</v>
      </c>
      <c r="M17" s="15"/>
      <c r="N17" s="18"/>
      <c r="O17" s="18"/>
      <c r="R17" s="52"/>
    </row>
    <row r="18" spans="1:18" ht="24" customHeight="1" outlineLevel="1">
      <c r="A18" s="97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/>
      <c r="L18" s="13">
        <f t="shared" si="4"/>
        <v>0</v>
      </c>
      <c r="M18" s="14"/>
      <c r="N18" s="13"/>
      <c r="O18" s="13"/>
    </row>
    <row r="19" spans="1:18" ht="24" customHeight="1" outlineLevel="1">
      <c r="A19" s="97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/>
      <c r="L19" s="13">
        <f t="shared" si="4"/>
        <v>0</v>
      </c>
      <c r="M19" s="14"/>
      <c r="N19" s="13"/>
      <c r="O19" s="13"/>
    </row>
    <row r="20" spans="1:18" s="6" customFormat="1" ht="26.25">
      <c r="A20" s="98"/>
      <c r="B20" s="26" t="s">
        <v>8</v>
      </c>
      <c r="C20" s="27">
        <v>4696</v>
      </c>
      <c r="D20" s="28">
        <f>+D17+D14</f>
        <v>751360000</v>
      </c>
      <c r="E20" s="27">
        <f>3558+591+3+16</f>
        <v>4168</v>
      </c>
      <c r="F20" s="27">
        <f>34+142</f>
        <v>176</v>
      </c>
      <c r="G20" s="27">
        <f>+E20-F20</f>
        <v>3992</v>
      </c>
      <c r="H20" s="28">
        <f>+H14+H17</f>
        <v>610457112</v>
      </c>
      <c r="I20" s="28">
        <f>+I14+I17</f>
        <v>450366461</v>
      </c>
      <c r="J20" s="28">
        <f>+J14+J17</f>
        <v>15700</v>
      </c>
      <c r="K20" s="28">
        <f>SUM(I20-J20)</f>
        <v>450350761</v>
      </c>
      <c r="L20" s="28">
        <f>SUM(H20-K20-700)</f>
        <v>160105651</v>
      </c>
      <c r="M20" s="29">
        <f>+K20*100/H20</f>
        <v>73.772710997590934</v>
      </c>
      <c r="N20" s="28">
        <f>+D20-H20</f>
        <v>140902888</v>
      </c>
      <c r="O20" s="28">
        <f>+D20-I20+J20</f>
        <v>301009239</v>
      </c>
      <c r="P20" s="34"/>
      <c r="R20" s="52"/>
    </row>
    <row r="21" spans="1:18" ht="24" customHeight="1">
      <c r="A21" s="71">
        <v>2561</v>
      </c>
      <c r="B21" s="8" t="s">
        <v>82</v>
      </c>
      <c r="C21" s="16">
        <v>1594</v>
      </c>
      <c r="D21" s="17">
        <f>SUM(D22:D25)</f>
        <v>35992328</v>
      </c>
      <c r="E21" s="17"/>
      <c r="F21" s="17"/>
      <c r="G21" s="17"/>
      <c r="H21" s="17">
        <f t="shared" ref="H21:L21" si="6">SUM(H22:H25)</f>
        <v>35782328</v>
      </c>
      <c r="I21" s="17">
        <f t="shared" si="6"/>
        <v>33874548</v>
      </c>
      <c r="J21" s="17"/>
      <c r="K21" s="17"/>
      <c r="L21" s="17">
        <f t="shared" si="6"/>
        <v>1907780</v>
      </c>
      <c r="M21" s="17"/>
      <c r="N21" s="17"/>
      <c r="O21" s="17"/>
    </row>
    <row r="22" spans="1:18" ht="24" customHeight="1" outlineLevel="1">
      <c r="A22" s="72"/>
      <c r="B22" s="19" t="s">
        <v>33</v>
      </c>
      <c r="C22" s="12"/>
      <c r="D22" s="13">
        <f>12303600+2845650</f>
        <v>15149250</v>
      </c>
      <c r="E22" s="12"/>
      <c r="F22" s="12"/>
      <c r="G22" s="12"/>
      <c r="H22" s="13">
        <v>14939250</v>
      </c>
      <c r="I22" s="13">
        <v>13342370</v>
      </c>
      <c r="J22" s="13"/>
      <c r="K22" s="13"/>
      <c r="L22" s="13">
        <f t="shared" ref="L22:L38" si="7">SUM(H22-I22)</f>
        <v>1596880</v>
      </c>
      <c r="M22" s="14"/>
      <c r="N22" s="13"/>
      <c r="O22" s="13"/>
      <c r="Q22" s="33"/>
    </row>
    <row r="23" spans="1:18" ht="24" customHeight="1" outlineLevel="1">
      <c r="A23" s="72"/>
      <c r="B23" s="11" t="s">
        <v>32</v>
      </c>
      <c r="C23" s="12"/>
      <c r="D23" s="13">
        <f>4069800+500000</f>
        <v>4569800</v>
      </c>
      <c r="E23" s="12"/>
      <c r="F23" s="12"/>
      <c r="G23" s="12"/>
      <c r="H23" s="13">
        <v>4569800</v>
      </c>
      <c r="I23" s="13">
        <v>4258900</v>
      </c>
      <c r="J23" s="13"/>
      <c r="K23" s="13"/>
      <c r="L23" s="13">
        <f t="shared" si="7"/>
        <v>310900</v>
      </c>
      <c r="M23" s="14"/>
      <c r="N23" s="13"/>
      <c r="O23" s="13"/>
    </row>
    <row r="24" spans="1:18" ht="24" customHeight="1" outlineLevel="1">
      <c r="A24" s="72"/>
      <c r="B24" s="11" t="s">
        <v>35</v>
      </c>
      <c r="C24" s="12"/>
      <c r="D24" s="13">
        <f>163966.8+109311.2</f>
        <v>273278</v>
      </c>
      <c r="E24" s="12"/>
      <c r="F24" s="12"/>
      <c r="G24" s="12"/>
      <c r="H24" s="13">
        <f>163966.8+109311.2</f>
        <v>273278</v>
      </c>
      <c r="I24" s="13">
        <f>163966.8+109311.2</f>
        <v>273278</v>
      </c>
      <c r="J24" s="13"/>
      <c r="K24" s="13"/>
      <c r="L24" s="13">
        <f t="shared" si="7"/>
        <v>0</v>
      </c>
      <c r="M24" s="14"/>
      <c r="N24" s="13"/>
      <c r="O24" s="13"/>
    </row>
    <row r="25" spans="1:18" ht="24" customHeight="1" outlineLevel="1">
      <c r="A25" s="73"/>
      <c r="B25" s="11" t="s">
        <v>24</v>
      </c>
      <c r="C25" s="12"/>
      <c r="D25" s="13">
        <v>16000000</v>
      </c>
      <c r="E25" s="12"/>
      <c r="F25" s="12"/>
      <c r="G25" s="12"/>
      <c r="H25" s="13">
        <v>16000000</v>
      </c>
      <c r="I25" s="13">
        <v>16000000</v>
      </c>
      <c r="J25" s="13"/>
      <c r="K25" s="13"/>
      <c r="L25" s="13">
        <f t="shared" si="7"/>
        <v>0</v>
      </c>
      <c r="M25" s="14"/>
      <c r="N25" s="13"/>
      <c r="O25" s="13"/>
    </row>
    <row r="26" spans="1:18" ht="24" customHeight="1">
      <c r="A26" s="71">
        <v>2562</v>
      </c>
      <c r="B26" s="8" t="s">
        <v>84</v>
      </c>
      <c r="C26" s="16"/>
      <c r="D26" s="17">
        <f>SUM(D27:D29)</f>
        <v>15189000</v>
      </c>
      <c r="E26" s="17"/>
      <c r="F26" s="17"/>
      <c r="G26" s="17"/>
      <c r="H26" s="17">
        <f>SUM(H27:H29)</f>
        <v>8682988</v>
      </c>
      <c r="I26" s="17">
        <f>SUM(I27:I29)</f>
        <v>4350938</v>
      </c>
      <c r="J26" s="17"/>
      <c r="K26" s="17"/>
      <c r="L26" s="17">
        <f>SUM(L27:L29)</f>
        <v>4332050</v>
      </c>
      <c r="M26" s="17"/>
      <c r="N26" s="17"/>
      <c r="O26" s="17"/>
    </row>
    <row r="27" spans="1:18" ht="24" customHeight="1" outlineLevel="1">
      <c r="A27" s="72"/>
      <c r="B27" s="19" t="s">
        <v>33</v>
      </c>
      <c r="C27" s="12"/>
      <c r="D27" s="13">
        <f>(7689000+6000000)-D29</f>
        <v>13289062</v>
      </c>
      <c r="E27" s="12"/>
      <c r="F27" s="12"/>
      <c r="G27" s="12"/>
      <c r="H27" s="13">
        <v>8283050</v>
      </c>
      <c r="I27" s="13">
        <v>3951000</v>
      </c>
      <c r="J27" s="13"/>
      <c r="K27" s="13"/>
      <c r="L27" s="13">
        <f t="shared" ref="L27:L29" si="8">SUM(H27-I27)</f>
        <v>4332050</v>
      </c>
      <c r="M27" s="14"/>
      <c r="N27" s="13"/>
      <c r="O27" s="13"/>
      <c r="Q27" s="33"/>
    </row>
    <row r="28" spans="1:18" ht="24" customHeight="1" outlineLevel="1">
      <c r="A28" s="72"/>
      <c r="B28" s="11" t="s">
        <v>32</v>
      </c>
      <c r="C28" s="12"/>
      <c r="D28" s="13">
        <f>1500000</f>
        <v>1500000</v>
      </c>
      <c r="E28" s="12"/>
      <c r="F28" s="12"/>
      <c r="G28" s="12"/>
      <c r="H28" s="13">
        <v>0</v>
      </c>
      <c r="I28" s="13">
        <v>0</v>
      </c>
      <c r="J28" s="13"/>
      <c r="K28" s="13"/>
      <c r="L28" s="13">
        <f t="shared" si="8"/>
        <v>0</v>
      </c>
      <c r="M28" s="14"/>
      <c r="N28" s="13"/>
      <c r="O28" s="13"/>
    </row>
    <row r="29" spans="1:18" ht="24" customHeight="1" outlineLevel="1">
      <c r="A29" s="72"/>
      <c r="B29" s="11" t="s">
        <v>35</v>
      </c>
      <c r="C29" s="12"/>
      <c r="D29" s="13">
        <f>99938+150000+150000</f>
        <v>399938</v>
      </c>
      <c r="E29" s="12"/>
      <c r="F29" s="12"/>
      <c r="G29" s="12"/>
      <c r="H29" s="13">
        <f>99938+150000+150000</f>
        <v>399938</v>
      </c>
      <c r="I29" s="13">
        <f>99938+150000+150000</f>
        <v>399938</v>
      </c>
      <c r="J29" s="13"/>
      <c r="K29" s="13"/>
      <c r="L29" s="13">
        <f t="shared" si="8"/>
        <v>0</v>
      </c>
      <c r="M29" s="14"/>
      <c r="N29" s="13"/>
      <c r="O29" s="13"/>
    </row>
    <row r="30" spans="1:18" s="6" customFormat="1" outlineLevel="1">
      <c r="A30" s="72"/>
      <c r="B30" s="59" t="s">
        <v>85</v>
      </c>
      <c r="C30" s="16">
        <v>904</v>
      </c>
      <c r="D30" s="17">
        <f>SUM(D31:D36)</f>
        <v>148498672</v>
      </c>
      <c r="E30" s="66">
        <v>583</v>
      </c>
      <c r="F30" s="66">
        <v>0</v>
      </c>
      <c r="G30" s="66">
        <f>+E30-F30</f>
        <v>583</v>
      </c>
      <c r="H30" s="17">
        <f t="shared" ref="H30:L30" si="9">SUM(H31:H36)</f>
        <v>91231300</v>
      </c>
      <c r="I30" s="17">
        <f t="shared" si="9"/>
        <v>0</v>
      </c>
      <c r="J30" s="17"/>
      <c r="K30" s="17"/>
      <c r="L30" s="17">
        <f t="shared" si="9"/>
        <v>91231300</v>
      </c>
      <c r="M30" s="17"/>
      <c r="N30" s="17"/>
      <c r="O30" s="17"/>
      <c r="R30" s="52"/>
    </row>
    <row r="31" spans="1:18" ht="24" customHeight="1" outlineLevel="1">
      <c r="A31" s="72"/>
      <c r="B31" s="19" t="s">
        <v>91</v>
      </c>
      <c r="C31" s="12"/>
      <c r="D31" s="13">
        <f>904*50000</f>
        <v>45200000</v>
      </c>
      <c r="E31" s="12"/>
      <c r="F31" s="12"/>
      <c r="G31" s="12"/>
      <c r="H31" s="13">
        <v>29150000</v>
      </c>
      <c r="I31" s="13">
        <v>0</v>
      </c>
      <c r="J31" s="13"/>
      <c r="K31" s="13"/>
      <c r="L31" s="13">
        <f t="shared" si="7"/>
        <v>29150000</v>
      </c>
      <c r="M31" s="14"/>
      <c r="N31" s="13"/>
      <c r="O31" s="13"/>
    </row>
    <row r="32" spans="1:18" ht="24" customHeight="1" outlineLevel="1">
      <c r="A32" s="72"/>
      <c r="B32" s="19" t="s">
        <v>93</v>
      </c>
      <c r="C32" s="12"/>
      <c r="D32" s="13">
        <f>25000*904</f>
        <v>22600000</v>
      </c>
      <c r="E32" s="12"/>
      <c r="F32" s="12"/>
      <c r="G32" s="12"/>
      <c r="H32" s="13">
        <v>14575000</v>
      </c>
      <c r="I32" s="13">
        <v>0</v>
      </c>
      <c r="J32" s="13"/>
      <c r="K32" s="13"/>
      <c r="L32" s="13">
        <f t="shared" si="7"/>
        <v>14575000</v>
      </c>
      <c r="M32" s="14"/>
      <c r="N32" s="13"/>
      <c r="O32" s="13"/>
    </row>
    <row r="33" spans="1:18" ht="24" customHeight="1" outlineLevel="1">
      <c r="A33" s="72"/>
      <c r="B33" s="19" t="s">
        <v>92</v>
      </c>
      <c r="C33" s="12"/>
      <c r="D33" s="13">
        <f>72000*904</f>
        <v>65088000</v>
      </c>
      <c r="E33" s="12"/>
      <c r="F33" s="12"/>
      <c r="G33" s="12"/>
      <c r="H33" s="13">
        <v>41976000</v>
      </c>
      <c r="I33" s="13">
        <v>0</v>
      </c>
      <c r="J33" s="13"/>
      <c r="K33" s="13"/>
      <c r="L33" s="13">
        <f t="shared" si="7"/>
        <v>41976000</v>
      </c>
      <c r="M33" s="14"/>
      <c r="N33" s="13"/>
      <c r="O33" s="13"/>
    </row>
    <row r="34" spans="1:18" ht="24" customHeight="1" outlineLevel="1">
      <c r="A34" s="72"/>
      <c r="B34" s="11" t="s">
        <v>94</v>
      </c>
      <c r="C34" s="12"/>
      <c r="D34" s="13">
        <v>2260000</v>
      </c>
      <c r="E34" s="12"/>
      <c r="F34" s="12"/>
      <c r="G34" s="12"/>
      <c r="H34" s="13">
        <v>1235000</v>
      </c>
      <c r="I34" s="13">
        <v>0</v>
      </c>
      <c r="J34" s="13"/>
      <c r="K34" s="13"/>
      <c r="L34" s="13">
        <f t="shared" si="7"/>
        <v>1235000</v>
      </c>
      <c r="M34" s="14"/>
      <c r="N34" s="13"/>
      <c r="O34" s="13"/>
    </row>
    <row r="35" spans="1:18" ht="24" customHeight="1" outlineLevel="1">
      <c r="A35" s="72"/>
      <c r="B35" s="11" t="s">
        <v>88</v>
      </c>
      <c r="C35" s="12"/>
      <c r="D35" s="13">
        <v>3858672</v>
      </c>
      <c r="E35" s="12"/>
      <c r="F35" s="12"/>
      <c r="G35" s="12"/>
      <c r="H35" s="13">
        <v>0</v>
      </c>
      <c r="I35" s="13">
        <v>0</v>
      </c>
      <c r="J35" s="13"/>
      <c r="K35" s="13"/>
      <c r="L35" s="13">
        <f t="shared" si="7"/>
        <v>0</v>
      </c>
      <c r="M35" s="14"/>
      <c r="N35" s="13"/>
      <c r="O35" s="13"/>
      <c r="P35" s="33"/>
    </row>
    <row r="36" spans="1:18" ht="24" customHeight="1" outlineLevel="1">
      <c r="A36" s="72"/>
      <c r="B36" s="11" t="s">
        <v>89</v>
      </c>
      <c r="C36" s="12"/>
      <c r="D36" s="13">
        <f>SUM(D37:D38)</f>
        <v>9492000</v>
      </c>
      <c r="E36" s="13"/>
      <c r="F36" s="13"/>
      <c r="G36" s="13"/>
      <c r="H36" s="13">
        <v>4295300</v>
      </c>
      <c r="I36" s="13">
        <v>0</v>
      </c>
      <c r="J36" s="13"/>
      <c r="K36" s="13"/>
      <c r="L36" s="13">
        <f t="shared" si="7"/>
        <v>4295300</v>
      </c>
      <c r="M36" s="13"/>
      <c r="N36" s="13"/>
      <c r="O36" s="13"/>
      <c r="P36" s="33"/>
    </row>
    <row r="37" spans="1:18" ht="24" hidden="1" customHeight="1" outlineLevel="1">
      <c r="A37" s="72"/>
      <c r="B37" s="60" t="s">
        <v>83</v>
      </c>
      <c r="C37" s="61"/>
      <c r="D37" s="62">
        <f>9492000-D38</f>
        <v>9242062</v>
      </c>
      <c r="E37" s="61"/>
      <c r="F37" s="61"/>
      <c r="G37" s="61"/>
      <c r="H37" s="63"/>
      <c r="I37" s="63"/>
      <c r="J37" s="63"/>
      <c r="K37" s="63"/>
      <c r="L37" s="63">
        <f t="shared" si="7"/>
        <v>0</v>
      </c>
      <c r="M37" s="64"/>
      <c r="N37" s="63"/>
      <c r="O37" s="63"/>
    </row>
    <row r="38" spans="1:18" ht="24" hidden="1" customHeight="1" outlineLevel="1">
      <c r="A38" s="72"/>
      <c r="B38" s="60" t="s">
        <v>35</v>
      </c>
      <c r="C38" s="61"/>
      <c r="D38" s="63">
        <v>249938</v>
      </c>
      <c r="E38" s="61"/>
      <c r="F38" s="61"/>
      <c r="G38" s="61"/>
      <c r="H38" s="63">
        <f>99938+150000</f>
        <v>249938</v>
      </c>
      <c r="I38" s="63">
        <f>99938+150000</f>
        <v>249938</v>
      </c>
      <c r="J38" s="63"/>
      <c r="K38" s="63"/>
      <c r="L38" s="63">
        <f t="shared" si="7"/>
        <v>0</v>
      </c>
      <c r="M38" s="64"/>
      <c r="N38" s="63"/>
      <c r="O38" s="63"/>
      <c r="P38" s="33"/>
    </row>
    <row r="39" spans="1:18" ht="26.25">
      <c r="A39" s="73"/>
      <c r="B39" s="30" t="s">
        <v>8</v>
      </c>
      <c r="C39" s="31">
        <f>SUM(C21+C30)</f>
        <v>2498</v>
      </c>
      <c r="D39" s="32">
        <f t="shared" ref="D39:J39" si="10">SUM(D21+D26+D30)</f>
        <v>199680000</v>
      </c>
      <c r="E39" s="31">
        <f t="shared" si="10"/>
        <v>583</v>
      </c>
      <c r="F39" s="31">
        <f t="shared" si="10"/>
        <v>0</v>
      </c>
      <c r="G39" s="31">
        <f t="shared" si="10"/>
        <v>583</v>
      </c>
      <c r="H39" s="32">
        <f t="shared" si="10"/>
        <v>135696616</v>
      </c>
      <c r="I39" s="32">
        <f t="shared" si="10"/>
        <v>38225486</v>
      </c>
      <c r="J39" s="32">
        <f t="shared" si="10"/>
        <v>0</v>
      </c>
      <c r="K39" s="32">
        <f>SUM(I39-J39)</f>
        <v>38225486</v>
      </c>
      <c r="L39" s="32">
        <f>SUM(L21+L26+L30)</f>
        <v>97471130</v>
      </c>
      <c r="M39" s="58">
        <f>+K39*100/H39</f>
        <v>28.169815229585385</v>
      </c>
      <c r="N39" s="32">
        <f>+D39-H39</f>
        <v>63983384</v>
      </c>
      <c r="O39" s="32">
        <f>+D39-I39+J39</f>
        <v>161454514</v>
      </c>
    </row>
    <row r="40" spans="1:18" s="6" customFormat="1" ht="26.25">
      <c r="A40" s="69" t="s">
        <v>25</v>
      </c>
      <c r="B40" s="70"/>
      <c r="C40" s="20">
        <f>+C13+C20+C39</f>
        <v>11004</v>
      </c>
      <c r="D40" s="21">
        <f t="shared" ref="D40:L40" si="11">+D39+D20+D13</f>
        <v>1255840000</v>
      </c>
      <c r="E40" s="20">
        <f t="shared" si="11"/>
        <v>8625</v>
      </c>
      <c r="F40" s="20">
        <f t="shared" si="11"/>
        <v>3234</v>
      </c>
      <c r="G40" s="20">
        <f t="shared" si="11"/>
        <v>5391</v>
      </c>
      <c r="H40" s="21">
        <f t="shared" si="11"/>
        <v>926222788.96000004</v>
      </c>
      <c r="I40" s="21">
        <f t="shared" si="11"/>
        <v>711528084.96000004</v>
      </c>
      <c r="J40" s="21">
        <f t="shared" si="11"/>
        <v>36279858</v>
      </c>
      <c r="K40" s="21">
        <f t="shared" si="11"/>
        <v>675248226.96000004</v>
      </c>
      <c r="L40" s="21">
        <f t="shared" si="11"/>
        <v>249855662</v>
      </c>
      <c r="M40" s="57">
        <f>+K40*100/H40</f>
        <v>72.903434790046106</v>
      </c>
      <c r="N40" s="21">
        <f>+N39+N20+N13</f>
        <v>329617211.03999996</v>
      </c>
      <c r="O40" s="21">
        <f>+O39+O20+O13</f>
        <v>580591773.03999996</v>
      </c>
      <c r="P40" s="34"/>
      <c r="R40" s="52"/>
    </row>
    <row r="41" spans="1:18">
      <c r="A41" s="1" t="s">
        <v>37</v>
      </c>
      <c r="B41" s="35" t="s">
        <v>38</v>
      </c>
    </row>
    <row r="42" spans="1:18">
      <c r="B42" s="35" t="s">
        <v>47</v>
      </c>
      <c r="P42" s="33"/>
    </row>
    <row r="43" spans="1:18" ht="55.5" customHeight="1">
      <c r="B43" s="48" t="s">
        <v>70</v>
      </c>
    </row>
    <row r="44" spans="1:18">
      <c r="H44" s="88" t="s">
        <v>68</v>
      </c>
      <c r="I44" s="88"/>
      <c r="J44" s="54"/>
      <c r="K44" s="54" t="s">
        <v>75</v>
      </c>
      <c r="L44" s="54"/>
      <c r="M44" s="88" t="s">
        <v>28</v>
      </c>
      <c r="N44" s="88"/>
      <c r="O44" s="1"/>
    </row>
    <row r="45" spans="1:18">
      <c r="H45" s="89" t="s">
        <v>71</v>
      </c>
      <c r="I45" s="89"/>
      <c r="J45" s="55"/>
      <c r="K45" s="55" t="s">
        <v>76</v>
      </c>
      <c r="L45" s="55"/>
      <c r="M45" s="89" t="s">
        <v>29</v>
      </c>
      <c r="N45" s="89"/>
      <c r="O45" s="1"/>
    </row>
    <row r="46" spans="1:18">
      <c r="H46" s="88" t="s">
        <v>30</v>
      </c>
      <c r="I46" s="88"/>
      <c r="J46" s="54"/>
      <c r="K46" s="54" t="s">
        <v>31</v>
      </c>
      <c r="L46" s="54"/>
      <c r="M46" s="88" t="s">
        <v>31</v>
      </c>
      <c r="N46" s="88"/>
      <c r="O46" s="1"/>
    </row>
    <row r="47" spans="1:18" ht="17.25" customHeight="1">
      <c r="H47" s="87" t="s">
        <v>34</v>
      </c>
      <c r="I47" s="87"/>
      <c r="J47" s="53"/>
      <c r="K47" s="2" t="s">
        <v>34</v>
      </c>
      <c r="M47" s="87" t="s">
        <v>34</v>
      </c>
      <c r="N47" s="87"/>
      <c r="O47" s="1"/>
    </row>
  </sheetData>
  <mergeCells count="31">
    <mergeCell ref="A1:O1"/>
    <mergeCell ref="H47:I47"/>
    <mergeCell ref="M47:N47"/>
    <mergeCell ref="M44:N44"/>
    <mergeCell ref="H44:I44"/>
    <mergeCell ref="H45:I45"/>
    <mergeCell ref="H46:I46"/>
    <mergeCell ref="M46:N46"/>
    <mergeCell ref="M45:N45"/>
    <mergeCell ref="I3:I5"/>
    <mergeCell ref="J3:J5"/>
    <mergeCell ref="K3:K5"/>
    <mergeCell ref="L3:L5"/>
    <mergeCell ref="A6:A13"/>
    <mergeCell ref="A14:A20"/>
    <mergeCell ref="A3:A5"/>
    <mergeCell ref="A2:O2"/>
    <mergeCell ref="O3:O5"/>
    <mergeCell ref="A40:B40"/>
    <mergeCell ref="A21:A25"/>
    <mergeCell ref="A26:A39"/>
    <mergeCell ref="B3:B5"/>
    <mergeCell ref="M3:M5"/>
    <mergeCell ref="N3:N5"/>
    <mergeCell ref="D4:D5"/>
    <mergeCell ref="E4:G4"/>
    <mergeCell ref="J6:K12"/>
    <mergeCell ref="C3:D3"/>
    <mergeCell ref="H4:H5"/>
    <mergeCell ref="E3:H3"/>
    <mergeCell ref="C4:C5"/>
  </mergeCells>
  <pageMargins left="0.48" right="0.17" top="0.25" bottom="0.17" header="0.24" footer="0.17"/>
  <pageSetup paperSize="9" scale="52" orientation="landscape" r:id="rId1"/>
  <ignoredErrors>
    <ignoredError sqref="N10:N13" formulaRange="1"/>
    <ignoredError sqref="M10:M12 M14:M19" formula="1" formulaRange="1"/>
    <ignoredError sqref="L30 K39 M39:M40 L26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S25"/>
  <sheetViews>
    <sheetView topLeftCell="A6" zoomScale="80" zoomScaleNormal="80" workbookViewId="0">
      <selection activeCell="AB12" sqref="AB12"/>
    </sheetView>
  </sheetViews>
  <sheetFormatPr defaultRowHeight="15" outlineLevelCol="1"/>
  <cols>
    <col min="1" max="1" width="14.140625" customWidth="1"/>
    <col min="2" max="2" width="34.7109375" customWidth="1"/>
    <col min="3" max="3" width="8.140625" hidden="1" customWidth="1" outlineLevel="1"/>
    <col min="4" max="4" width="12.7109375" hidden="1" customWidth="1" outlineLevel="1"/>
    <col min="5" max="5" width="16.140625" hidden="1" customWidth="1" outlineLevel="1"/>
    <col min="6" max="6" width="8.28515625" hidden="1" customWidth="1" outlineLevel="1"/>
    <col min="7" max="7" width="11.5703125" hidden="1" customWidth="1" outlineLevel="1"/>
    <col min="8" max="8" width="15.7109375" hidden="1" customWidth="1" outlineLevel="1"/>
    <col min="9" max="9" width="8.42578125" hidden="1" customWidth="1" outlineLevel="1"/>
    <col min="10" max="10" width="8.28515625" hidden="1" customWidth="1" outlineLevel="1"/>
    <col min="11" max="11" width="14.5703125" hidden="1" customWidth="1" outlineLevel="1"/>
    <col min="12" max="12" width="8.42578125" hidden="1" customWidth="1" outlineLevel="1"/>
    <col min="13" max="13" width="15.7109375" hidden="1" customWidth="1" outlineLevel="1"/>
    <col min="14" max="14" width="8.140625" hidden="1" customWidth="1" outlineLevel="1"/>
    <col min="15" max="15" width="16.140625" bestFit="1" customWidth="1" collapsed="1"/>
    <col min="16" max="16" width="8.140625" hidden="1" customWidth="1" outlineLevel="1"/>
    <col min="17" max="17" width="14.5703125" hidden="1" customWidth="1" outlineLevel="1"/>
    <col min="18" max="18" width="8" hidden="1" customWidth="1" outlineLevel="1"/>
    <col min="19" max="19" width="14.5703125" hidden="1" customWidth="1" outlineLevel="1"/>
    <col min="20" max="20" width="15.7109375" hidden="1" customWidth="1" outlineLevel="1"/>
    <col min="21" max="21" width="14.5703125" hidden="1" customWidth="1" outlineLevel="1"/>
    <col min="22" max="24" width="9.140625" hidden="1" customWidth="1" outlineLevel="1"/>
    <col min="25" max="26" width="11.5703125" hidden="1" customWidth="1" outlineLevel="1"/>
    <col min="27" max="27" width="9.140625" hidden="1" customWidth="1" outlineLevel="1"/>
    <col min="28" max="28" width="15.7109375" bestFit="1" customWidth="1" collapsed="1"/>
    <col min="29" max="29" width="8.140625" hidden="1" customWidth="1" outlineLevel="1"/>
    <col min="30" max="30" width="14.5703125" hidden="1" customWidth="1" outlineLevel="1"/>
    <col min="31" max="31" width="8" hidden="1" customWidth="1" outlineLevel="1"/>
    <col min="32" max="32" width="14.5703125" hidden="1" customWidth="1" outlineLevel="1"/>
    <col min="33" max="33" width="15.7109375" hidden="1" customWidth="1" outlineLevel="1"/>
    <col min="34" max="39" width="14.5703125" hidden="1" customWidth="1" outlineLevel="1"/>
    <col min="40" max="40" width="9.140625" hidden="1" customWidth="1" outlineLevel="1"/>
    <col min="41" max="41" width="15.7109375" bestFit="1" customWidth="1" collapsed="1"/>
    <col min="42" max="43" width="15.7109375" customWidth="1"/>
    <col min="44" max="44" width="16.85546875" bestFit="1" customWidth="1"/>
    <col min="45" max="45" width="15" bestFit="1" customWidth="1"/>
  </cols>
  <sheetData>
    <row r="1" spans="1:45" ht="27.75" customHeight="1">
      <c r="A1" s="6" t="s">
        <v>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AB1" s="1"/>
      <c r="AC1" s="1"/>
      <c r="AD1" s="1"/>
    </row>
    <row r="2" spans="1:45" s="44" customFormat="1" ht="24">
      <c r="A2" s="102" t="s">
        <v>46</v>
      </c>
      <c r="B2" s="36" t="s">
        <v>39</v>
      </c>
      <c r="C2" s="110" t="s">
        <v>48</v>
      </c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1"/>
      <c r="AI2" s="111"/>
      <c r="AJ2" s="111"/>
      <c r="AK2" s="111"/>
      <c r="AL2" s="111"/>
      <c r="AM2" s="111"/>
      <c r="AN2" s="111"/>
      <c r="AO2" s="111"/>
      <c r="AP2" s="111"/>
      <c r="AQ2" s="111"/>
      <c r="AR2" s="112"/>
    </row>
    <row r="3" spans="1:45" s="44" customFormat="1" ht="34.5" customHeight="1">
      <c r="A3" s="103"/>
      <c r="B3" s="90" t="s">
        <v>64</v>
      </c>
      <c r="C3" s="107" t="s">
        <v>69</v>
      </c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9"/>
      <c r="O3" s="105" t="s">
        <v>63</v>
      </c>
      <c r="P3" s="113" t="s">
        <v>62</v>
      </c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5"/>
      <c r="AB3" s="105" t="s">
        <v>77</v>
      </c>
      <c r="AC3" s="113" t="s">
        <v>49</v>
      </c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6" t="s">
        <v>49</v>
      </c>
      <c r="AP3" s="105" t="s">
        <v>78</v>
      </c>
      <c r="AQ3" s="100" t="s">
        <v>79</v>
      </c>
      <c r="AR3" s="100" t="s">
        <v>40</v>
      </c>
    </row>
    <row r="4" spans="1:45" s="44" customFormat="1" ht="36" customHeight="1">
      <c r="A4" s="104"/>
      <c r="B4" s="92"/>
      <c r="C4" s="47" t="s">
        <v>50</v>
      </c>
      <c r="D4" s="47" t="s">
        <v>51</v>
      </c>
      <c r="E4" s="47" t="s">
        <v>52</v>
      </c>
      <c r="F4" s="47" t="s">
        <v>53</v>
      </c>
      <c r="G4" s="47" t="s">
        <v>54</v>
      </c>
      <c r="H4" s="47" t="s">
        <v>55</v>
      </c>
      <c r="I4" s="47" t="s">
        <v>56</v>
      </c>
      <c r="J4" s="47" t="s">
        <v>57</v>
      </c>
      <c r="K4" s="47" t="s">
        <v>58</v>
      </c>
      <c r="L4" s="65" t="s">
        <v>59</v>
      </c>
      <c r="M4" s="65" t="s">
        <v>60</v>
      </c>
      <c r="N4" s="37" t="s">
        <v>61</v>
      </c>
      <c r="O4" s="106"/>
      <c r="P4" s="47" t="s">
        <v>50</v>
      </c>
      <c r="Q4" s="47" t="s">
        <v>51</v>
      </c>
      <c r="R4" s="47" t="s">
        <v>52</v>
      </c>
      <c r="S4" s="47" t="s">
        <v>53</v>
      </c>
      <c r="T4" s="47" t="s">
        <v>54</v>
      </c>
      <c r="U4" s="47" t="s">
        <v>55</v>
      </c>
      <c r="V4" s="47" t="s">
        <v>56</v>
      </c>
      <c r="W4" s="47" t="s">
        <v>57</v>
      </c>
      <c r="X4" s="47" t="s">
        <v>58</v>
      </c>
      <c r="Y4" s="47" t="s">
        <v>59</v>
      </c>
      <c r="Z4" s="65" t="s">
        <v>60</v>
      </c>
      <c r="AA4" s="37" t="s">
        <v>61</v>
      </c>
      <c r="AB4" s="106"/>
      <c r="AC4" s="47" t="s">
        <v>50</v>
      </c>
      <c r="AD4" s="47" t="s">
        <v>51</v>
      </c>
      <c r="AE4" s="47" t="s">
        <v>52</v>
      </c>
      <c r="AF4" s="47" t="s">
        <v>53</v>
      </c>
      <c r="AG4" s="47" t="s">
        <v>54</v>
      </c>
      <c r="AH4" s="47" t="s">
        <v>55</v>
      </c>
      <c r="AI4" s="47" t="s">
        <v>56</v>
      </c>
      <c r="AJ4" s="47" t="s">
        <v>57</v>
      </c>
      <c r="AK4" s="47" t="s">
        <v>58</v>
      </c>
      <c r="AL4" s="47" t="s">
        <v>59</v>
      </c>
      <c r="AM4" s="65" t="s">
        <v>60</v>
      </c>
      <c r="AN4" s="37" t="s">
        <v>61</v>
      </c>
      <c r="AO4" s="117"/>
      <c r="AP4" s="106"/>
      <c r="AQ4" s="101"/>
      <c r="AR4" s="101"/>
    </row>
    <row r="5" spans="1:45" ht="24">
      <c r="A5" s="38" t="s">
        <v>41</v>
      </c>
      <c r="B5" s="39">
        <v>22820510</v>
      </c>
      <c r="C5" s="39">
        <v>0</v>
      </c>
      <c r="D5" s="39">
        <v>0</v>
      </c>
      <c r="E5" s="39">
        <v>473994</v>
      </c>
      <c r="F5" s="39"/>
      <c r="G5" s="39"/>
      <c r="H5" s="39"/>
      <c r="I5" s="39"/>
      <c r="J5" s="39"/>
      <c r="K5" s="39">
        <v>0</v>
      </c>
      <c r="L5" s="39"/>
      <c r="M5" s="39"/>
      <c r="N5" s="39"/>
      <c r="O5" s="13">
        <f>SUM(C5:N5)</f>
        <v>473994</v>
      </c>
      <c r="P5" s="39">
        <v>0</v>
      </c>
      <c r="Q5" s="39">
        <v>0</v>
      </c>
      <c r="R5" s="39">
        <v>0</v>
      </c>
      <c r="S5" s="39">
        <v>0</v>
      </c>
      <c r="T5" s="39">
        <v>34534500</v>
      </c>
      <c r="U5" s="39">
        <v>2250000</v>
      </c>
      <c r="V5" s="39"/>
      <c r="W5" s="39"/>
      <c r="X5" s="39"/>
      <c r="Y5" s="39">
        <v>15000</v>
      </c>
      <c r="Z5" s="39"/>
      <c r="AA5" s="13"/>
      <c r="AB5" s="39">
        <f>SUM(P5:AA5)</f>
        <v>36799500</v>
      </c>
      <c r="AC5" s="39">
        <v>0</v>
      </c>
      <c r="AD5" s="39">
        <v>0</v>
      </c>
      <c r="AE5" s="39">
        <v>0</v>
      </c>
      <c r="AF5" s="39">
        <v>0</v>
      </c>
      <c r="AG5" s="39"/>
      <c r="AH5" s="39"/>
      <c r="AI5" s="39">
        <f>472750+450000+32500</f>
        <v>955250</v>
      </c>
      <c r="AJ5" s="39"/>
      <c r="AK5" s="39">
        <f>3044200+250000+720000</f>
        <v>4014200</v>
      </c>
      <c r="AL5" s="39">
        <v>0</v>
      </c>
      <c r="AM5" s="39">
        <v>0</v>
      </c>
      <c r="AN5" s="13"/>
      <c r="AO5" s="39">
        <f>SUM(AC5:AN5)</f>
        <v>4969450</v>
      </c>
      <c r="AP5" s="39">
        <f>157500+4647300+5948527</f>
        <v>10753327</v>
      </c>
      <c r="AQ5" s="39">
        <f>AO5*100/(B5+O5-AB5+AP5)</f>
        <v>-180.59766636176082</v>
      </c>
      <c r="AR5" s="39">
        <f>+B5+O5-AB5-AO5+AP5</f>
        <v>-7721119</v>
      </c>
      <c r="AS5" s="49"/>
    </row>
    <row r="6" spans="1:45" ht="24">
      <c r="A6" s="40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>
        <v>2392000</v>
      </c>
      <c r="L6" s="13"/>
      <c r="M6" s="13"/>
      <c r="N6" s="13"/>
      <c r="O6" s="13">
        <f>SUM(C6:N6)</f>
        <v>2962100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>
        <v>10000</v>
      </c>
      <c r="AA6" s="13"/>
      <c r="AB6" s="13">
        <f t="shared" ref="AB6:AB8" si="0">SUM(P6:AA6)</f>
        <v>10000</v>
      </c>
      <c r="AC6" s="13">
        <v>0</v>
      </c>
      <c r="AD6" s="13">
        <v>1259486</v>
      </c>
      <c r="AE6" s="13">
        <v>0</v>
      </c>
      <c r="AF6" s="13">
        <v>6202183</v>
      </c>
      <c r="AG6" s="13">
        <v>26426080</v>
      </c>
      <c r="AH6" s="13"/>
      <c r="AI6" s="13">
        <f>150000+66000+9000+3750+216000</f>
        <v>444750</v>
      </c>
      <c r="AJ6" s="13"/>
      <c r="AK6" s="13"/>
      <c r="AL6" s="13">
        <v>2671000</v>
      </c>
      <c r="AM6" s="13">
        <v>0</v>
      </c>
      <c r="AN6" s="13"/>
      <c r="AO6" s="39">
        <f t="shared" ref="AO6:AO7" si="1">SUM(AC6:AN6)</f>
        <v>37003499</v>
      </c>
      <c r="AP6" s="39"/>
      <c r="AQ6" s="39">
        <f>AO6*100/(B6+O6-AB6+AP6)</f>
        <v>18.773100589191319</v>
      </c>
      <c r="AR6" s="39">
        <f>+B6+O6-AB6-AO6+AP6</f>
        <v>160105651</v>
      </c>
      <c r="AS6" s="49"/>
    </row>
    <row r="7" spans="1:45" ht="24">
      <c r="A7" s="40">
        <v>2561</v>
      </c>
      <c r="B7" s="13">
        <v>4442720</v>
      </c>
      <c r="C7" s="13">
        <v>0</v>
      </c>
      <c r="D7" s="13">
        <f>54000+12000+126000+18000</f>
        <v>210000</v>
      </c>
      <c r="E7" s="13">
        <v>1242000</v>
      </c>
      <c r="F7" s="13"/>
      <c r="G7" s="13">
        <v>54000</v>
      </c>
      <c r="H7" s="13">
        <v>1083000</v>
      </c>
      <c r="I7" s="13"/>
      <c r="J7" s="13"/>
      <c r="K7" s="13">
        <f>438000+594000+540000+282000+72000+3768050</f>
        <v>5694050</v>
      </c>
      <c r="L7" s="13"/>
      <c r="M7" s="13">
        <v>91231300</v>
      </c>
      <c r="N7" s="13"/>
      <c r="O7" s="13">
        <f>SUM(C7:N7)</f>
        <v>99514350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f t="shared" si="0"/>
        <v>0</v>
      </c>
      <c r="AC7" s="13">
        <v>0</v>
      </c>
      <c r="AD7" s="13">
        <v>1254000</v>
      </c>
      <c r="AE7" s="13">
        <v>0</v>
      </c>
      <c r="AF7" s="13">
        <v>0</v>
      </c>
      <c r="AG7" s="13">
        <v>60000</v>
      </c>
      <c r="AH7" s="13">
        <f>54000+81000+1107000</f>
        <v>1242000</v>
      </c>
      <c r="AI7" s="13"/>
      <c r="AJ7" s="13">
        <v>1137000</v>
      </c>
      <c r="AK7" s="13">
        <v>1220940</v>
      </c>
      <c r="AL7" s="13"/>
      <c r="AM7" s="13">
        <f>540000+594000+438000</f>
        <v>1572000</v>
      </c>
      <c r="AN7" s="13"/>
      <c r="AO7" s="39">
        <f t="shared" si="1"/>
        <v>6485940</v>
      </c>
      <c r="AP7" s="39"/>
      <c r="AQ7" s="39">
        <f>AO7*100/(B7+O7-AB7+AP7)</f>
        <v>6.2390561796326116</v>
      </c>
      <c r="AR7" s="39">
        <f>+B7+O7-AB7-AO7+AP7</f>
        <v>97471130</v>
      </c>
      <c r="AS7" s="49"/>
    </row>
    <row r="8" spans="1:45" ht="24">
      <c r="A8" s="40" t="s">
        <v>8</v>
      </c>
      <c r="B8" s="21">
        <f t="shared" ref="B8:AA8" si="2">SUM(B5:B7)</f>
        <v>221420280</v>
      </c>
      <c r="C8" s="21">
        <f t="shared" si="2"/>
        <v>0</v>
      </c>
      <c r="D8" s="21">
        <f t="shared" si="2"/>
        <v>780100</v>
      </c>
      <c r="E8" s="21">
        <f t="shared" si="2"/>
        <v>1715994</v>
      </c>
      <c r="F8" s="21">
        <f t="shared" si="2"/>
        <v>0</v>
      </c>
      <c r="G8" s="21">
        <f t="shared" si="2"/>
        <v>54000</v>
      </c>
      <c r="H8" s="21">
        <f t="shared" si="2"/>
        <v>1083000</v>
      </c>
      <c r="I8" s="21">
        <f t="shared" si="2"/>
        <v>0</v>
      </c>
      <c r="J8" s="21">
        <f t="shared" si="2"/>
        <v>0</v>
      </c>
      <c r="K8" s="21">
        <f t="shared" si="2"/>
        <v>8086050</v>
      </c>
      <c r="L8" s="21">
        <f t="shared" si="2"/>
        <v>0</v>
      </c>
      <c r="M8" s="21">
        <f t="shared" si="2"/>
        <v>91231300</v>
      </c>
      <c r="N8" s="21">
        <f t="shared" si="2"/>
        <v>0</v>
      </c>
      <c r="O8" s="46">
        <f t="shared" si="2"/>
        <v>102950444</v>
      </c>
      <c r="P8" s="46">
        <f t="shared" si="2"/>
        <v>0</v>
      </c>
      <c r="Q8" s="46">
        <f t="shared" si="2"/>
        <v>0</v>
      </c>
      <c r="R8" s="46">
        <f t="shared" si="2"/>
        <v>0</v>
      </c>
      <c r="S8" s="46">
        <f t="shared" si="2"/>
        <v>0</v>
      </c>
      <c r="T8" s="46">
        <f t="shared" si="2"/>
        <v>34534500</v>
      </c>
      <c r="U8" s="46">
        <f t="shared" si="2"/>
        <v>2250000</v>
      </c>
      <c r="V8" s="46">
        <f t="shared" si="2"/>
        <v>0</v>
      </c>
      <c r="W8" s="46">
        <f t="shared" si="2"/>
        <v>0</v>
      </c>
      <c r="X8" s="46">
        <f t="shared" si="2"/>
        <v>0</v>
      </c>
      <c r="Y8" s="46">
        <f t="shared" si="2"/>
        <v>15000</v>
      </c>
      <c r="Z8" s="46">
        <f t="shared" si="2"/>
        <v>10000</v>
      </c>
      <c r="AA8" s="46">
        <f t="shared" si="2"/>
        <v>0</v>
      </c>
      <c r="AB8" s="46">
        <f t="shared" si="0"/>
        <v>36809500</v>
      </c>
      <c r="AC8" s="46">
        <f t="shared" ref="AC8:AP8" si="3">SUM(AC5:AC7)</f>
        <v>0</v>
      </c>
      <c r="AD8" s="46">
        <f t="shared" si="3"/>
        <v>2513486</v>
      </c>
      <c r="AE8" s="46">
        <f t="shared" si="3"/>
        <v>0</v>
      </c>
      <c r="AF8" s="46">
        <f t="shared" si="3"/>
        <v>6202183</v>
      </c>
      <c r="AG8" s="46">
        <f t="shared" si="3"/>
        <v>26486080</v>
      </c>
      <c r="AH8" s="46">
        <f t="shared" si="3"/>
        <v>1242000</v>
      </c>
      <c r="AI8" s="46">
        <f t="shared" si="3"/>
        <v>1400000</v>
      </c>
      <c r="AJ8" s="46">
        <f t="shared" si="3"/>
        <v>1137000</v>
      </c>
      <c r="AK8" s="46">
        <f t="shared" si="3"/>
        <v>5235140</v>
      </c>
      <c r="AL8" s="46">
        <f t="shared" si="3"/>
        <v>2671000</v>
      </c>
      <c r="AM8" s="46">
        <f t="shared" si="3"/>
        <v>1572000</v>
      </c>
      <c r="AN8" s="46">
        <f t="shared" si="3"/>
        <v>0</v>
      </c>
      <c r="AO8" s="46">
        <f t="shared" si="3"/>
        <v>48458889</v>
      </c>
      <c r="AP8" s="46">
        <f t="shared" si="3"/>
        <v>10753327</v>
      </c>
      <c r="AQ8" s="46">
        <f>AO8*100/(B8+O8-AB8+AP8)</f>
        <v>16.244225713280745</v>
      </c>
      <c r="AR8" s="46">
        <f>+B8+O8-AB8-AO8+AP8</f>
        <v>249855662</v>
      </c>
      <c r="AS8" s="49"/>
    </row>
    <row r="9" spans="1:45" ht="24">
      <c r="A9" s="4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AB9" s="2"/>
      <c r="AC9" s="2"/>
      <c r="AD9" s="2"/>
      <c r="AS9" s="49"/>
    </row>
    <row r="10" spans="1:45" ht="24">
      <c r="A10" s="42" t="s">
        <v>65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AB10" s="2"/>
      <c r="AC10" s="2"/>
      <c r="AD10" s="2"/>
    </row>
    <row r="11" spans="1:45" ht="24">
      <c r="A11" s="99" t="s">
        <v>96</v>
      </c>
      <c r="B11" s="99"/>
      <c r="C11" s="99"/>
      <c r="D11" s="99"/>
      <c r="H11" s="2"/>
      <c r="I11" s="2"/>
      <c r="J11" s="2"/>
      <c r="K11" s="2"/>
      <c r="L11" s="2"/>
      <c r="M11" s="2"/>
      <c r="N11" s="2"/>
      <c r="O11" s="2">
        <f>+AO8</f>
        <v>48458889</v>
      </c>
      <c r="P11" s="45" t="str">
        <f>"("&amp;BAHTTEXT(B11)&amp;")"</f>
        <v>(ศูนย์บาทถ้วน)</v>
      </c>
      <c r="Q11" s="2"/>
      <c r="AB11" s="2" t="s">
        <v>66</v>
      </c>
      <c r="AC11" s="45" t="str">
        <f>"("&amp;BAHTTEXT(O11)&amp;")"</f>
        <v>(สี่สิบแปดล้านสี่แสนห้าหมื่นแปดพันแปดร้อยแปดสิบเก้าบาทถ้วน)</v>
      </c>
      <c r="AD11" s="2"/>
      <c r="AO11" s="49">
        <f>+AR8-รายงานสถานะโครงการ!L40</f>
        <v>0</v>
      </c>
      <c r="AP11" s="49"/>
      <c r="AQ11" s="49"/>
    </row>
    <row r="12" spans="1:45" ht="24">
      <c r="A12" s="99" t="s">
        <v>67</v>
      </c>
      <c r="B12" s="99"/>
      <c r="C12" s="99"/>
      <c r="D12" s="99"/>
      <c r="H12" s="2"/>
      <c r="I12" s="2"/>
      <c r="J12" s="2"/>
      <c r="K12" s="2"/>
      <c r="L12" s="2"/>
      <c r="M12" s="2"/>
      <c r="N12" s="2"/>
      <c r="O12" s="2">
        <f>+AR8</f>
        <v>249855662</v>
      </c>
      <c r="P12" s="45" t="str">
        <f>"("&amp;BAHTTEXT(B12)&amp;")"</f>
        <v>(ศูนย์บาทถ้วน)</v>
      </c>
      <c r="Q12" s="2"/>
      <c r="AB12" s="2" t="s">
        <v>66</v>
      </c>
      <c r="AC12" s="45" t="str">
        <f>"("&amp;BAHTTEXT(O12)&amp;")"</f>
        <v>(สองร้อยสี่สิบเก้าล้านแปดแสนห้าหมื่นห้าพันหกร้อยหกสิบสองบาทถ้วน)</v>
      </c>
      <c r="AD12" s="2"/>
    </row>
    <row r="13" spans="1:45" ht="24">
      <c r="A13" s="4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AB13" s="2"/>
      <c r="AC13" s="2"/>
      <c r="AD13" s="2"/>
    </row>
    <row r="14" spans="1:45" ht="24">
      <c r="A14" s="4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AB14" s="2"/>
      <c r="AC14" s="2"/>
      <c r="AD14" s="2"/>
    </row>
    <row r="15" spans="1:45" ht="24">
      <c r="A15" s="42" t="s">
        <v>42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T15" s="49"/>
      <c r="AB15" s="43"/>
      <c r="AC15" s="43"/>
      <c r="AD15" s="43"/>
      <c r="AG15" s="49"/>
    </row>
    <row r="16" spans="1:45" ht="24">
      <c r="A16" s="42" t="s">
        <v>87</v>
      </c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AB16" s="43"/>
      <c r="AC16" s="43"/>
      <c r="AD16" s="43"/>
    </row>
    <row r="17" spans="1:30" ht="24">
      <c r="A17" s="42" t="s">
        <v>80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AB17" s="43"/>
      <c r="AC17" s="43"/>
      <c r="AD17" s="43"/>
    </row>
    <row r="18" spans="1:30" ht="24">
      <c r="A18" s="35" t="s">
        <v>43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  <c r="AB18" s="43"/>
      <c r="AC18" s="43"/>
      <c r="AD18" s="43"/>
    </row>
    <row r="19" spans="1:30" ht="24">
      <c r="A19" s="35" t="s">
        <v>44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AB19" s="43"/>
      <c r="AC19" s="43"/>
      <c r="AD19" s="43"/>
    </row>
    <row r="20" spans="1:30" ht="24">
      <c r="A20" s="42" t="s">
        <v>81</v>
      </c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AB20" s="43"/>
      <c r="AC20" s="43"/>
      <c r="AD20" s="43"/>
    </row>
    <row r="21" spans="1:30" ht="24">
      <c r="A21" s="35" t="s">
        <v>45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AB21" s="43"/>
      <c r="AC21" s="43"/>
      <c r="AD21" s="43"/>
    </row>
    <row r="22" spans="1:30" ht="24">
      <c r="A22" s="35"/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AB22" s="43"/>
      <c r="AC22" s="43"/>
      <c r="AD22" s="43"/>
    </row>
    <row r="23" spans="1:30" ht="24">
      <c r="A23" s="35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AB23" s="43"/>
      <c r="AC23" s="43"/>
      <c r="AD23" s="43"/>
    </row>
    <row r="24" spans="1:30" ht="24">
      <c r="A24" s="35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AB24" s="43"/>
      <c r="AC24" s="43"/>
      <c r="AD24" s="43"/>
    </row>
    <row r="25" spans="1:30" ht="24">
      <c r="A25" s="35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AB25" s="43"/>
      <c r="AC25" s="43"/>
      <c r="AD25" s="43"/>
    </row>
  </sheetData>
  <dataConsolidate/>
  <mergeCells count="14">
    <mergeCell ref="A11:D11"/>
    <mergeCell ref="A12:D12"/>
    <mergeCell ref="AR3:AR4"/>
    <mergeCell ref="A2:A4"/>
    <mergeCell ref="B3:B4"/>
    <mergeCell ref="O3:O4"/>
    <mergeCell ref="AB3:AB4"/>
    <mergeCell ref="C3:N3"/>
    <mergeCell ref="C2:AR2"/>
    <mergeCell ref="P3:AA3"/>
    <mergeCell ref="AP3:AP4"/>
    <mergeCell ref="AC3:AN3"/>
    <mergeCell ref="AO3:AO4"/>
    <mergeCell ref="AQ3:AQ4"/>
  </mergeCells>
  <pageMargins left="0.35" right="0.2" top="0.55000000000000004" bottom="0.75" header="0.3" footer="0.3"/>
  <pageSetup paperSize="9" scale="97" orientation="landscape" r:id="rId1"/>
  <ignoredErrors>
    <ignoredError sqref="AO5:AO7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รายงานสถานะโครงการ</vt:lpstr>
      <vt:lpstr>ภาพรวมเบิกจ่าย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2019-09-02T08:12:41Z</cp:lastPrinted>
  <dcterms:created xsi:type="dcterms:W3CDTF">2018-05-02T12:11:23Z</dcterms:created>
  <dcterms:modified xsi:type="dcterms:W3CDTF">2019-09-02T08:12:47Z</dcterms:modified>
</cp:coreProperties>
</file>