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รายงาน\ปีงบประมาณ 2563\"/>
    </mc:Choice>
  </mc:AlternateContent>
  <xr:revisionPtr revIDLastSave="0" documentId="13_ncr:1_{EB025C3B-30BA-441E-93F4-610856B6F51D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X7" i="2" l="1"/>
  <c r="BX6" i="2"/>
  <c r="U38" i="1"/>
  <c r="U36" i="1"/>
  <c r="U35" i="1"/>
  <c r="U34" i="1"/>
  <c r="U33" i="1"/>
  <c r="U28" i="1"/>
  <c r="S16" i="1" l="1"/>
  <c r="S15" i="1"/>
  <c r="BG12" i="2"/>
  <c r="P12" i="2"/>
  <c r="BG11" i="2"/>
  <c r="P11" i="2"/>
  <c r="CG8" i="2"/>
  <c r="CE8" i="2"/>
  <c r="CD8" i="2"/>
  <c r="CC8" i="2"/>
  <c r="CB8" i="2"/>
  <c r="CA8" i="2"/>
  <c r="BZ8" i="2"/>
  <c r="BY8" i="2"/>
  <c r="BX8" i="2"/>
  <c r="BW8" i="2"/>
  <c r="BR8" i="2"/>
  <c r="BQ8" i="2"/>
  <c r="BP8" i="2"/>
  <c r="BO8" i="2"/>
  <c r="BN8" i="2"/>
  <c r="BM8" i="2"/>
  <c r="BL8" i="2"/>
  <c r="BK8" i="2"/>
  <c r="BJ8" i="2"/>
  <c r="BI8" i="2"/>
  <c r="BH8" i="2"/>
  <c r="BG8" i="2"/>
  <c r="BE8" i="2"/>
  <c r="BD8" i="2"/>
  <c r="BC8" i="2"/>
  <c r="BB8" i="2"/>
  <c r="BA8" i="2"/>
  <c r="AZ8" i="2"/>
  <c r="AY8" i="2"/>
  <c r="AX8" i="2"/>
  <c r="AV8" i="2"/>
  <c r="AU8" i="2"/>
  <c r="AT8" i="2"/>
  <c r="AS8" i="2"/>
  <c r="AL8" i="2"/>
  <c r="AK8" i="2"/>
  <c r="AJ8" i="2"/>
  <c r="AH8" i="2"/>
  <c r="AG8" i="2"/>
  <c r="AF8" i="2"/>
  <c r="AE8" i="2"/>
  <c r="AD8" i="2"/>
  <c r="AC8" i="2"/>
  <c r="Z8" i="2"/>
  <c r="Y8" i="2"/>
  <c r="X8" i="2"/>
  <c r="W8" i="2"/>
  <c r="V8" i="2"/>
  <c r="U8" i="2"/>
  <c r="T8" i="2"/>
  <c r="S8" i="2"/>
  <c r="R8" i="2"/>
  <c r="Q8" i="2"/>
  <c r="P8" i="2"/>
  <c r="N8" i="2"/>
  <c r="M8" i="2"/>
  <c r="L8" i="2"/>
  <c r="J8" i="2"/>
  <c r="I8" i="2"/>
  <c r="H8" i="2"/>
  <c r="G8" i="2"/>
  <c r="F8" i="2"/>
  <c r="E8" i="2"/>
  <c r="C8" i="2"/>
  <c r="B8" i="2"/>
  <c r="BV7" i="2"/>
  <c r="BV8" i="2" s="1"/>
  <c r="BU7" i="2"/>
  <c r="BU8" i="2" s="1"/>
  <c r="BT7" i="2"/>
  <c r="CF7" i="2" s="1"/>
  <c r="CH7" i="2" s="1"/>
  <c r="BS7" i="2"/>
  <c r="AW7" i="2"/>
  <c r="BF7" i="2" s="1"/>
  <c r="AN7" i="2"/>
  <c r="AO7" i="2" s="1"/>
  <c r="AQ7" i="2" s="1"/>
  <c r="AM7" i="2"/>
  <c r="AM8" i="2" s="1"/>
  <c r="AH7" i="2"/>
  <c r="AB7" i="2"/>
  <c r="O7" i="2"/>
  <c r="AR7" i="2" s="1"/>
  <c r="N7" i="2"/>
  <c r="K7" i="2"/>
  <c r="K8" i="2" s="1"/>
  <c r="D7" i="2"/>
  <c r="BT6" i="2"/>
  <c r="BT8" i="2" s="1"/>
  <c r="BS6" i="2"/>
  <c r="BF6" i="2"/>
  <c r="AW6" i="2"/>
  <c r="AN6" i="2"/>
  <c r="AI6" i="2"/>
  <c r="AO6" i="2" s="1"/>
  <c r="AB6" i="2"/>
  <c r="AA6" i="2"/>
  <c r="AA8" i="2" s="1"/>
  <c r="D6" i="2"/>
  <c r="D8" i="2" s="1"/>
  <c r="CF5" i="2"/>
  <c r="BS5" i="2"/>
  <c r="BS8" i="2" s="1"/>
  <c r="BF5" i="2"/>
  <c r="CH5" i="2" s="1"/>
  <c r="AP5" i="2"/>
  <c r="AP8" i="2" s="1"/>
  <c r="AO5" i="2"/>
  <c r="AQ5" i="2" s="1"/>
  <c r="AN5" i="2"/>
  <c r="AN8" i="2" s="1"/>
  <c r="AK5" i="2"/>
  <c r="AI5" i="2"/>
  <c r="AI8" i="2" s="1"/>
  <c r="AB5" i="2"/>
  <c r="O5" i="2"/>
  <c r="AR5" i="2" s="1"/>
  <c r="CI7" i="2" l="1"/>
  <c r="AB8" i="2"/>
  <c r="AO8" i="2"/>
  <c r="AW8" i="2"/>
  <c r="BF8" i="2"/>
  <c r="O6" i="2"/>
  <c r="AR6" i="2" s="1"/>
  <c r="CF6" i="2"/>
  <c r="CH6" i="2" s="1"/>
  <c r="CI5" i="2"/>
  <c r="S42" i="1"/>
  <c r="T42" i="1"/>
  <c r="U42" i="1"/>
  <c r="U50" i="1" s="1"/>
  <c r="V42" i="1"/>
  <c r="W42" i="1"/>
  <c r="X42" i="1"/>
  <c r="Y42" i="1"/>
  <c r="Y50" i="1" s="1"/>
  <c r="Z42" i="1"/>
  <c r="AA42" i="1"/>
  <c r="AB42" i="1"/>
  <c r="AC42" i="1"/>
  <c r="AC50" i="1" s="1"/>
  <c r="AD42" i="1"/>
  <c r="Q42" i="1"/>
  <c r="Q50" i="1" s="1"/>
  <c r="P42" i="1"/>
  <c r="P50" i="1" s="1"/>
  <c r="R42" i="1"/>
  <c r="R50" i="1" s="1"/>
  <c r="S50" i="1"/>
  <c r="T50" i="1"/>
  <c r="V50" i="1"/>
  <c r="W50" i="1"/>
  <c r="X50" i="1"/>
  <c r="Z50" i="1"/>
  <c r="AA50" i="1"/>
  <c r="AB50" i="1"/>
  <c r="AD50" i="1"/>
  <c r="M42" i="1"/>
  <c r="N42" i="1"/>
  <c r="N50" i="1" s="1"/>
  <c r="O42" i="1"/>
  <c r="O50" i="1" s="1"/>
  <c r="O11" i="2" l="1"/>
  <c r="AC11" i="2" s="1"/>
  <c r="AQ8" i="2"/>
  <c r="CF8" i="2"/>
  <c r="CI6" i="2"/>
  <c r="O8" i="2"/>
  <c r="AR8" i="2" s="1"/>
  <c r="AQ6" i="2"/>
  <c r="M50" i="1"/>
  <c r="J50" i="1"/>
  <c r="F50" i="1"/>
  <c r="E50" i="1"/>
  <c r="C50" i="1"/>
  <c r="L49" i="1"/>
  <c r="L48" i="1"/>
  <c r="L47" i="1"/>
  <c r="L46" i="1"/>
  <c r="L45" i="1"/>
  <c r="L44" i="1"/>
  <c r="L43" i="1"/>
  <c r="I42" i="1"/>
  <c r="I50" i="1" s="1"/>
  <c r="H42" i="1"/>
  <c r="H50" i="1" s="1"/>
  <c r="G42" i="1"/>
  <c r="G50" i="1" s="1"/>
  <c r="D42" i="1"/>
  <c r="D50" i="1" s="1"/>
  <c r="L42" i="1" l="1"/>
  <c r="L50" i="1" s="1"/>
  <c r="BF11" i="2"/>
  <c r="BT11" i="2" s="1"/>
  <c r="CH8" i="2"/>
  <c r="O12" i="2"/>
  <c r="AC12" i="2" s="1"/>
  <c r="AO11" i="2"/>
  <c r="CI8" i="2"/>
  <c r="BF12" i="2" s="1"/>
  <c r="BT12" i="2" s="1"/>
  <c r="K50" i="1"/>
  <c r="U29" i="1"/>
  <c r="U16" i="1"/>
  <c r="U15" i="1"/>
  <c r="W38" i="1" l="1"/>
  <c r="W37" i="1"/>
  <c r="W36" i="1"/>
  <c r="W35" i="1"/>
  <c r="W34" i="1"/>
  <c r="W33" i="1"/>
  <c r="W31" i="1"/>
  <c r="W30" i="1"/>
  <c r="W29" i="1"/>
  <c r="W28" i="1"/>
  <c r="W26" i="1"/>
  <c r="W25" i="1"/>
  <c r="W24" i="1"/>
  <c r="W23" i="1"/>
  <c r="W22" i="1"/>
  <c r="W19" i="1"/>
  <c r="W18" i="1"/>
  <c r="W16" i="1"/>
  <c r="W15" i="1"/>
  <c r="W12" i="1"/>
  <c r="W11" i="1"/>
  <c r="W9" i="1"/>
  <c r="W8" i="1"/>
  <c r="W7" i="1"/>
  <c r="Q7" i="1"/>
  <c r="U14" i="1" l="1"/>
  <c r="S32" i="1"/>
  <c r="T32" i="1"/>
  <c r="T41" i="1" s="1"/>
  <c r="U32" i="1"/>
  <c r="V32" i="1"/>
  <c r="W32" i="1"/>
  <c r="S27" i="1"/>
  <c r="S41" i="1" s="1"/>
  <c r="T27" i="1"/>
  <c r="U27" i="1"/>
  <c r="V27" i="1"/>
  <c r="W27" i="1"/>
  <c r="W21" i="1"/>
  <c r="S21" i="1"/>
  <c r="T21" i="1"/>
  <c r="U21" i="1"/>
  <c r="V21" i="1"/>
  <c r="S17" i="1"/>
  <c r="T17" i="1"/>
  <c r="U17" i="1"/>
  <c r="V17" i="1"/>
  <c r="W17" i="1"/>
  <c r="S14" i="1"/>
  <c r="S20" i="1" s="1"/>
  <c r="T14" i="1"/>
  <c r="V14" i="1"/>
  <c r="W14" i="1"/>
  <c r="W20" i="1" s="1"/>
  <c r="S10" i="1"/>
  <c r="T10" i="1"/>
  <c r="U10" i="1"/>
  <c r="V10" i="1"/>
  <c r="W10" i="1"/>
  <c r="S6" i="1"/>
  <c r="S13" i="1" s="1"/>
  <c r="T6" i="1"/>
  <c r="U6" i="1"/>
  <c r="V6" i="1"/>
  <c r="W6" i="1"/>
  <c r="Z20" i="1"/>
  <c r="Z13" i="1"/>
  <c r="X37" i="1"/>
  <c r="X26" i="1"/>
  <c r="X24" i="1"/>
  <c r="X19" i="1"/>
  <c r="X18" i="1"/>
  <c r="V41" i="1"/>
  <c r="V51" i="1" s="1"/>
  <c r="T20" i="1"/>
  <c r="T13" i="1" l="1"/>
  <c r="T51" i="1" s="1"/>
  <c r="U13" i="1"/>
  <c r="S51" i="1"/>
  <c r="W41" i="1"/>
  <c r="W51" i="1" s="1"/>
  <c r="W13" i="1"/>
  <c r="U41" i="1"/>
  <c r="U20" i="1"/>
  <c r="U51" i="1" l="1"/>
  <c r="K7" i="1"/>
  <c r="Y7" i="1" s="1"/>
  <c r="K8" i="1"/>
  <c r="K9" i="1"/>
  <c r="K11" i="1"/>
  <c r="K12" i="1"/>
  <c r="L9" i="1"/>
  <c r="I6" i="1"/>
  <c r="I10" i="1"/>
  <c r="I14" i="1"/>
  <c r="I17" i="1"/>
  <c r="I25" i="1"/>
  <c r="I21" i="1" s="1"/>
  <c r="I27" i="1"/>
  <c r="I32" i="1"/>
  <c r="I40" i="1"/>
  <c r="K6" i="1" l="1"/>
  <c r="K10" i="1"/>
  <c r="I13" i="1"/>
  <c r="I51" i="1" s="1"/>
  <c r="I20" i="1"/>
  <c r="I41" i="1"/>
  <c r="K13" i="1" l="1"/>
  <c r="M16" i="1" l="1"/>
  <c r="X16" i="1" l="1"/>
  <c r="Z32" i="1"/>
  <c r="Z27" i="1"/>
  <c r="Z21" i="1"/>
  <c r="Z17" i="1"/>
  <c r="Z14" i="1"/>
  <c r="H25" i="1"/>
  <c r="X25" i="1" l="1"/>
  <c r="K38" i="1"/>
  <c r="K37" i="1"/>
  <c r="K36" i="1"/>
  <c r="K35" i="1"/>
  <c r="K34" i="1"/>
  <c r="K33" i="1"/>
  <c r="K31" i="1"/>
  <c r="K30" i="1"/>
  <c r="K29" i="1"/>
  <c r="K28" i="1"/>
  <c r="K26" i="1"/>
  <c r="K25" i="1"/>
  <c r="K24" i="1"/>
  <c r="K23" i="1"/>
  <c r="K22" i="1"/>
  <c r="K19" i="1"/>
  <c r="K18" i="1"/>
  <c r="K16" i="1"/>
  <c r="K15" i="1"/>
  <c r="L18" i="1" l="1"/>
  <c r="L24" i="1"/>
  <c r="L29" i="1"/>
  <c r="L34" i="1"/>
  <c r="L19" i="1"/>
  <c r="L25" i="1"/>
  <c r="L35" i="1"/>
  <c r="L15" i="1"/>
  <c r="L26" i="1"/>
  <c r="L31" i="1"/>
  <c r="L36" i="1"/>
  <c r="L28" i="1"/>
  <c r="L33" i="1"/>
  <c r="L37" i="1"/>
  <c r="L30" i="1"/>
  <c r="L38" i="1"/>
  <c r="K17" i="1"/>
  <c r="K14" i="1"/>
  <c r="L16" i="1"/>
  <c r="K32" i="1"/>
  <c r="K27" i="1"/>
  <c r="K21" i="1"/>
  <c r="K20" i="1" l="1"/>
  <c r="K51" i="1" s="1"/>
  <c r="K41" i="1"/>
  <c r="Q38" i="1"/>
  <c r="Y38" i="1" s="1"/>
  <c r="Q37" i="1"/>
  <c r="Q36" i="1"/>
  <c r="Y36" i="1" s="1"/>
  <c r="Q35" i="1"/>
  <c r="Y35" i="1" s="1"/>
  <c r="Q34" i="1"/>
  <c r="Y34" i="1" s="1"/>
  <c r="Q33" i="1"/>
  <c r="Q31" i="1"/>
  <c r="Y31" i="1" s="1"/>
  <c r="Q30" i="1"/>
  <c r="Q29" i="1"/>
  <c r="Y29" i="1" s="1"/>
  <c r="Q28" i="1"/>
  <c r="Y28" i="1" s="1"/>
  <c r="Q26" i="1"/>
  <c r="Q25" i="1"/>
  <c r="Q24" i="1"/>
  <c r="Q23" i="1"/>
  <c r="Y23" i="1" s="1"/>
  <c r="Q22" i="1"/>
  <c r="Y22" i="1" s="1"/>
  <c r="Q19" i="1"/>
  <c r="Q18" i="1"/>
  <c r="Q16" i="1"/>
  <c r="Q15" i="1"/>
  <c r="Y15" i="1" s="1"/>
  <c r="Q12" i="1"/>
  <c r="Y12" i="1" s="1"/>
  <c r="Q11" i="1"/>
  <c r="Y11" i="1" s="1"/>
  <c r="Q8" i="1"/>
  <c r="Y8" i="1" s="1"/>
  <c r="Q9" i="1"/>
  <c r="Y9" i="1" s="1"/>
  <c r="Y16" i="1" l="1"/>
  <c r="AB16" i="1" s="1"/>
  <c r="R16" i="1"/>
  <c r="Q32" i="1"/>
  <c r="Y33" i="1"/>
  <c r="Y37" i="1"/>
  <c r="AB37" i="1" s="1"/>
  <c r="R37" i="1"/>
  <c r="R24" i="1"/>
  <c r="Y24" i="1"/>
  <c r="AB24" i="1" s="1"/>
  <c r="Y18" i="1"/>
  <c r="AB18" i="1" s="1"/>
  <c r="R18" i="1"/>
  <c r="Y19" i="1"/>
  <c r="AB19" i="1" s="1"/>
  <c r="R19" i="1"/>
  <c r="Y25" i="1"/>
  <c r="AB25" i="1" s="1"/>
  <c r="R25" i="1"/>
  <c r="Y30" i="1"/>
  <c r="R30" i="1"/>
  <c r="R26" i="1"/>
  <c r="Y26" i="1"/>
  <c r="AB26" i="1" s="1"/>
  <c r="AA35" i="1"/>
  <c r="AA36" i="1"/>
  <c r="AA33" i="1"/>
  <c r="AA37" i="1"/>
  <c r="AA34" i="1"/>
  <c r="AA38" i="1"/>
  <c r="AA14" i="1"/>
  <c r="AA27" i="1"/>
  <c r="Q17" i="1"/>
  <c r="Q14" i="1"/>
  <c r="AA17" i="1"/>
  <c r="AA21" i="1"/>
  <c r="Q10" i="1"/>
  <c r="Q6" i="1"/>
  <c r="Q27" i="1"/>
  <c r="Q21" i="1"/>
  <c r="R17" i="1" l="1"/>
  <c r="Q13" i="1"/>
  <c r="AA32" i="1"/>
  <c r="Q20" i="1"/>
  <c r="Q41" i="1"/>
  <c r="Q51" i="1" s="1"/>
  <c r="L17" i="1"/>
  <c r="L14" i="1"/>
  <c r="J32" i="1"/>
  <c r="J27" i="1"/>
  <c r="J21" i="1"/>
  <c r="J17" i="1"/>
  <c r="J14" i="1"/>
  <c r="J10" i="1"/>
  <c r="J6" i="1"/>
  <c r="L20" i="1" l="1"/>
  <c r="J41" i="1"/>
  <c r="L32" i="1"/>
  <c r="L27" i="1"/>
  <c r="J51" i="1" l="1"/>
  <c r="M38" i="1"/>
  <c r="M29" i="1"/>
  <c r="M15" i="1"/>
  <c r="R15" i="1" l="1"/>
  <c r="R14" i="1" s="1"/>
  <c r="R20" i="1" s="1"/>
  <c r="X15" i="1"/>
  <c r="X29" i="1"/>
  <c r="AB29" i="1" s="1"/>
  <c r="R29" i="1"/>
  <c r="X38" i="1"/>
  <c r="AB38" i="1" s="1"/>
  <c r="R38" i="1"/>
  <c r="X30" i="1"/>
  <c r="AB30" i="1" s="1"/>
  <c r="M28" i="1"/>
  <c r="X28" i="1" l="1"/>
  <c r="AB28" i="1" s="1"/>
  <c r="R28" i="1"/>
  <c r="X17" i="1"/>
  <c r="Y21" i="1"/>
  <c r="AB17" i="1"/>
  <c r="AB39" i="1" l="1"/>
  <c r="AB40" i="1"/>
  <c r="Y32" i="1"/>
  <c r="Y27" i="1"/>
  <c r="N17" i="1"/>
  <c r="O17" i="1"/>
  <c r="P17" i="1"/>
  <c r="Y17" i="1"/>
  <c r="M17" i="1"/>
  <c r="Y14" i="1"/>
  <c r="Y41" i="1" l="1"/>
  <c r="Y20" i="1"/>
  <c r="Y10" i="1"/>
  <c r="Y6" i="1"/>
  <c r="M6" i="1"/>
  <c r="O6" i="1"/>
  <c r="M10" i="1"/>
  <c r="O10" i="1"/>
  <c r="N32" i="1"/>
  <c r="O32" i="1"/>
  <c r="P32" i="1"/>
  <c r="N27" i="1"/>
  <c r="O27" i="1"/>
  <c r="P27" i="1"/>
  <c r="M21" i="1"/>
  <c r="N21" i="1"/>
  <c r="O21" i="1"/>
  <c r="P21" i="1"/>
  <c r="P14" i="1"/>
  <c r="M36" i="1"/>
  <c r="M35" i="1"/>
  <c r="M34" i="1"/>
  <c r="M33" i="1"/>
  <c r="M31" i="1"/>
  <c r="H12" i="1"/>
  <c r="N41" i="1" l="1"/>
  <c r="R12" i="1"/>
  <c r="X12" i="1"/>
  <c r="AB12" i="1" s="1"/>
  <c r="R36" i="1"/>
  <c r="X36" i="1"/>
  <c r="AB36" i="1" s="1"/>
  <c r="R31" i="1"/>
  <c r="R27" i="1" s="1"/>
  <c r="X31" i="1"/>
  <c r="AB31" i="1" s="1"/>
  <c r="X33" i="1"/>
  <c r="R33" i="1"/>
  <c r="R34" i="1"/>
  <c r="X34" i="1"/>
  <c r="AB34" i="1" s="1"/>
  <c r="X35" i="1"/>
  <c r="AB35" i="1" s="1"/>
  <c r="R35" i="1"/>
  <c r="L12" i="1"/>
  <c r="AB27" i="1"/>
  <c r="M13" i="1"/>
  <c r="AA20" i="1"/>
  <c r="P41" i="1"/>
  <c r="Y13" i="1"/>
  <c r="AA13" i="1" s="1"/>
  <c r="M14" i="1"/>
  <c r="M20" i="1" s="1"/>
  <c r="M32" i="1"/>
  <c r="AB33" i="1"/>
  <c r="X27" i="1"/>
  <c r="M27" i="1"/>
  <c r="O41" i="1"/>
  <c r="P51" i="1" l="1"/>
  <c r="Z41" i="1"/>
  <c r="Z51" i="1" s="1"/>
  <c r="Y51" i="1"/>
  <c r="R32" i="1"/>
  <c r="AA41" i="1"/>
  <c r="AA51" i="1" s="1"/>
  <c r="M41" i="1"/>
  <c r="M51" i="1" s="1"/>
  <c r="X32" i="1"/>
  <c r="AB32" i="1"/>
  <c r="N9" i="1"/>
  <c r="N11" i="1"/>
  <c r="N8" i="1"/>
  <c r="N7" i="1"/>
  <c r="H11" i="1"/>
  <c r="H8" i="1"/>
  <c r="H7" i="1"/>
  <c r="O14" i="1"/>
  <c r="O20" i="1" s="1"/>
  <c r="L8" i="1" l="1"/>
  <c r="X8" i="1"/>
  <c r="AB8" i="1" s="1"/>
  <c r="R8" i="1"/>
  <c r="L11" i="1"/>
  <c r="L10" i="1" s="1"/>
  <c r="X11" i="1"/>
  <c r="AB11" i="1" s="1"/>
  <c r="R11" i="1"/>
  <c r="R10" i="1" s="1"/>
  <c r="R9" i="1"/>
  <c r="X9" i="1"/>
  <c r="AB9" i="1" s="1"/>
  <c r="L7" i="1"/>
  <c r="R7" i="1"/>
  <c r="R6" i="1" s="1"/>
  <c r="R13" i="1" s="1"/>
  <c r="X7" i="1"/>
  <c r="AB7" i="1" s="1"/>
  <c r="L6" i="1"/>
  <c r="L13" i="1" s="1"/>
  <c r="N10" i="1"/>
  <c r="X10" i="1"/>
  <c r="N6" i="1"/>
  <c r="N14" i="1"/>
  <c r="N20" i="1" s="1"/>
  <c r="O13" i="1"/>
  <c r="O51" i="1" s="1"/>
  <c r="AB15" i="1" l="1"/>
  <c r="AB14" i="1" s="1"/>
  <c r="AB20" i="1" s="1"/>
  <c r="N13" i="1"/>
  <c r="N51" i="1" s="1"/>
  <c r="X14" i="1"/>
  <c r="X20" i="1" s="1"/>
  <c r="AB10" i="1"/>
  <c r="X6" i="1"/>
  <c r="X13" i="1" s="1"/>
  <c r="E20" i="1"/>
  <c r="AB6" i="1" l="1"/>
  <c r="AB13" i="1" s="1"/>
  <c r="AD13" i="1"/>
  <c r="F20" i="1"/>
  <c r="E32" i="1" l="1"/>
  <c r="H23" i="1" l="1"/>
  <c r="H22" i="1"/>
  <c r="X23" i="1" l="1"/>
  <c r="AB23" i="1" s="1"/>
  <c r="R23" i="1"/>
  <c r="X22" i="1"/>
  <c r="AB22" i="1" s="1"/>
  <c r="R22" i="1"/>
  <c r="R21" i="1" s="1"/>
  <c r="R41" i="1" s="1"/>
  <c r="R51" i="1" s="1"/>
  <c r="L22" i="1"/>
  <c r="L23" i="1"/>
  <c r="L21" i="1" l="1"/>
  <c r="L41" i="1" s="1"/>
  <c r="L51" i="1" s="1"/>
  <c r="X21" i="1"/>
  <c r="X41" i="1" s="1"/>
  <c r="X51" i="1" s="1"/>
  <c r="G32" i="1"/>
  <c r="F13" i="1" l="1"/>
  <c r="D31" i="1"/>
  <c r="D29" i="1" s="1"/>
  <c r="D25" i="1" l="1"/>
  <c r="E41" i="1" l="1"/>
  <c r="F41" i="1"/>
  <c r="F51" i="1" s="1"/>
  <c r="G41" i="1"/>
  <c r="D30" i="1" l="1"/>
  <c r="D27" i="1" s="1"/>
  <c r="D24" i="1"/>
  <c r="D21" i="1" s="1"/>
  <c r="H27" i="1"/>
  <c r="AD27" i="1" l="1"/>
  <c r="D32" i="1"/>
  <c r="D39" i="1"/>
  <c r="H40" i="1"/>
  <c r="H32" i="1" s="1"/>
  <c r="AD32" i="1" l="1"/>
  <c r="D41" i="1"/>
  <c r="AD41" i="1" s="1"/>
  <c r="C41" i="1"/>
  <c r="C51" i="1" s="1"/>
  <c r="E13" i="1" l="1"/>
  <c r="E51" i="1" s="1"/>
  <c r="H21" i="1" l="1"/>
  <c r="AD21" i="1" s="1"/>
  <c r="H17" i="1"/>
  <c r="D17" i="1"/>
  <c r="H14" i="1"/>
  <c r="D14" i="1"/>
  <c r="G20" i="1"/>
  <c r="H41" i="1" l="1"/>
  <c r="AB21" i="1"/>
  <c r="AB41" i="1" s="1"/>
  <c r="AB51" i="1" s="1"/>
  <c r="H20" i="1"/>
  <c r="D20" i="1"/>
  <c r="H6" i="1"/>
  <c r="H10" i="1"/>
  <c r="AD20" i="1" l="1"/>
  <c r="AD51" i="1" s="1"/>
  <c r="D51" i="1"/>
  <c r="AC41" i="1"/>
  <c r="H13" i="1"/>
  <c r="H51" i="1" s="1"/>
  <c r="AC20" i="1"/>
  <c r="G13" i="1"/>
  <c r="G51" i="1" s="1"/>
  <c r="AC51" i="1" l="1"/>
  <c r="AC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R7" authorId="0" shapeId="0" xr:uid="{330F075A-7C7F-4FAE-B97D-122A261E3932}">
      <text>
        <r>
          <rPr>
            <b/>
            <sz val="9"/>
            <color indexed="81"/>
            <rFont val="Tahoma"/>
          </rPr>
          <t>หักลบ ชช.เพิ่มสินถมยา : 1,118,200.-</t>
        </r>
        <r>
          <rPr>
            <sz val="9"/>
            <color indexed="81"/>
            <rFont val="Tahoma"/>
          </rPr>
          <t xml:space="preserve">
</t>
        </r>
      </text>
    </comment>
    <comment ref="AB7" authorId="0" shapeId="0" xr:uid="{2CCA59C1-5CC8-4CB5-B162-906C58FD6059}">
      <text>
        <r>
          <rPr>
            <b/>
            <sz val="9"/>
            <color indexed="81"/>
            <rFont val="Tahoma"/>
            <family val="2"/>
          </rPr>
          <t>หักลบ ชช.เพิ่มสินถมยา : 1,118,200.-</t>
        </r>
      </text>
    </comment>
    <comment ref="X26" authorId="0" shapeId="0" xr:uid="{4065C561-999A-4910-A197-ECA6739C363A}">
      <text>
        <r>
          <rPr>
            <b/>
            <sz val="9"/>
            <color indexed="81"/>
            <rFont val="Tahoma"/>
          </rPr>
          <t>ยอดบันทึกใหม่ ณ ธค. : 14,241,599.78 บาท
ยอดการเงินยืนยัน :13,713,885.58 บาท</t>
        </r>
      </text>
    </comment>
  </commentList>
</comments>
</file>

<file path=xl/sharedStrings.xml><?xml version="1.0" encoding="utf-8"?>
<sst xmlns="http://schemas.openxmlformats.org/spreadsheetml/2006/main" count="205" uniqueCount="115">
  <si>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</si>
  <si>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</si>
  <si>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</si>
  <si>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</si>
  <si>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</si>
  <si>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</si>
  <si>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</si>
  <si>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</si>
  <si>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</si>
  <si>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</si>
  <si>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</si>
  <si>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</si>
  <si>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</si>
  <si>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</si>
  <si>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</si>
  <si>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</si>
  <si>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ร้อยละ
การเบิกจ่าย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</si>
  <si>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</si>
  <si>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</si>
  <si>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</si>
  <si>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</si>
  <si>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</si>
  <si>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</si>
  <si>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</si>
  <si>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</si>
  <si>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</si>
  <si>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</si>
  <si>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</si>
  <si>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</si>
  <si>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</si>
  <si>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</si>
  <si>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</si>
  <si>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</si>
  <si>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</si>
  <si>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</si>
  <si>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</si>
  <si>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</si>
  <si>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</si>
  <si>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</si>
  <si>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</si>
  <si>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</si>
  <si>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</si>
  <si>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</si>
  <si>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</si>
  <si>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</si>
  <si>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</si>
  <si>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</si>
  <si>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</si>
  <si>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</si>
  <si>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</si>
  <si>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</si>
  <si>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</si>
  <si>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</si>
  <si>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</si>
  <si>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</si>
  <si>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</si>
  <si>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</si>
  <si>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</si>
  <si>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คงเหลือ
รอเบิกจ่าย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</si>
  <si>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</si>
  <si>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</si>
  <si>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</si>
  <si>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</si>
  <si>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</si>
  <si>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</si>
  <si>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</si>
  <si>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</si>
  <si>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งบบริหารจัดการ (เครือข่าย/ศปก.ทชค.)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</si>
  <si>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</si>
  <si>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</si>
  <si>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</si>
  <si>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</si>
  <si>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</si>
  <si>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</si>
  <si>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</si>
  <si>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คืนงบประมาณ</t>
  </si>
  <si>
    <t>เบิกจ่าย</t>
  </si>
  <si>
    <t>รับเงินคืนจากชุมชน</t>
  </si>
  <si>
    <t>ณ 30 กันยายน 61</t>
  </si>
  <si>
    <t>อนุมัติสะสม</t>
  </si>
  <si>
    <t>เบิกจ่ายสะสม</t>
  </si>
  <si>
    <t>คงเหลือยกไป</t>
  </si>
  <si>
    <t>เบิกจ่ายจริง</t>
  </si>
  <si>
    <t>อยู่ระหว่างการรับคืนเงินจากชุมชน</t>
  </si>
  <si>
    <t>รับคืนเงินสะสม</t>
  </si>
  <si>
    <t>เบิกจ่ายจริงสะสม</t>
  </si>
  <si>
    <t>2. งบประมาณปี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</si>
  <si>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4. งบประมาณปี 2562 ค่าดำเนินงานศปก.ทชค. งบประมาณ 16,000,000 บาท มีการนำงบค่าใช้จ่ายเงินอุดหนุนช่วยเหลือและสนับสนุนการพัฒนาชุมชนริมคลอง 2561 มาใช้ในการดำเนินงาน จำนวน 13,713,885.58 บาท ยังไม่รวมค่าใช้จ่ายค้างจ่าย</t>
  </si>
  <si>
    <t>ดำเนินการปี 2563</t>
  </si>
  <si>
    <t>ณ 30 กันยายน 62</t>
  </si>
  <si>
    <t>ณ 30 ก.ย. 62</t>
  </si>
  <si>
    <t>ดำเนินการปีงบประมาณ พ.ศ. 2563</t>
  </si>
  <si>
    <t>คงเหลือยกไป
เบิกจ่ายปี 2563</t>
  </si>
  <si>
    <t>งบประมาณปี 2560 ดำเนินการปี 2560 - 2563</t>
  </si>
  <si>
    <t>งบประมาณปี 2561 ดำเนินการปี 2561 - 2563</t>
  </si>
  <si>
    <t>1. งบสนับสนุนคลองเปรม</t>
  </si>
  <si>
    <t>งบมาตรการสิ่งแวดล้อมชุมชน (สผ.4)</t>
  </si>
  <si>
    <t>งบบริหารจัดการโครงการ</t>
  </si>
  <si>
    <t>งบบริหารโครงการ สำนักฯคลอง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</si>
  <si>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</si>
  <si>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</si>
  <si>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</si>
  <si>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</si>
  <si>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</si>
  <si>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</si>
  <si>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</si>
  <si>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</si>
  <si>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</si>
  <si>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</si>
  <si>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</si>
  <si>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</si>
  <si>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งบประมาณปี 2557-2559 ดำเนินการปี 2560 และ 2562 (งบบ้านมั่นคง)</t>
  </si>
  <si>
    <t>ภาพรวมผลการเบิกจ่ายรายเดือน ณ วันที่ 29 กุมภาพันธ์ 2563</t>
  </si>
  <si>
    <t>ณ วันที่ 29 กุมภาพันธ์ 2563 มีการเบิกจ่ายงบประมาณรวม</t>
  </si>
  <si>
    <t>ประจำเดือน กุมภาพันธ์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</si>
</sst>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20"/>
      <color theme="1"/>
      <name val="TH SarabunPSK"/>
      <family val="2"/>
    </font>
    <font>
      <b/>
      <sz val="16"/>
      <name val="TH SarabunPSK"/>
      <family val="2"/>
    </font>
    <font>
      <b/>
      <u val="singleAccounting"/>
      <sz val="16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</font>
    <font>
      <b/>
      <sz val="9"/>
      <color indexed="81"/>
      <name val="Tahoma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9E88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45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8" borderId="11" xfId="0" applyFont="1" applyFill="1" applyBorder="1" applyAlignment="1">
      <alignment horizontal="left" indent="1"/>
    </xf>
    <xf numFmtId="166" fontId="2" fillId="38" borderId="11" xfId="1" applyNumberFormat="1" applyFont="1" applyFill="1" applyBorder="1"/>
    <xf numFmtId="43" fontId="2" fillId="38" borderId="0" xfId="0" applyNumberFormat="1" applyFont="1" applyFill="1"/>
    <xf numFmtId="43" fontId="2" fillId="38" borderId="11" xfId="1" applyFont="1" applyFill="1" applyBorder="1"/>
    <xf numFmtId="0" fontId="2" fillId="38" borderId="11" xfId="0" applyFont="1" applyFill="1" applyBorder="1"/>
    <xf numFmtId="166" fontId="3" fillId="39" borderId="11" xfId="1" applyNumberFormat="1" applyFont="1" applyFill="1" applyBorder="1"/>
    <xf numFmtId="43" fontId="3" fillId="39" borderId="11" xfId="1" applyFont="1" applyFill="1" applyBorder="1"/>
    <xf numFmtId="43" fontId="2" fillId="0" borderId="0" xfId="1" applyFont="1" applyAlignment="1">
      <alignment horizontal="center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43" fontId="2" fillId="0" borderId="11" xfId="1" applyFont="1" applyFill="1" applyBorder="1" applyAlignment="1">
      <alignment vertical="center"/>
    </xf>
    <xf numFmtId="43" fontId="3" fillId="34" borderId="18" xfId="1" applyFont="1" applyFill="1" applyBorder="1" applyAlignment="1">
      <alignment horizontal="center" vertical="center" wrapText="1"/>
    </xf>
    <xf numFmtId="43" fontId="2" fillId="0" borderId="0" xfId="1" applyFont="1" applyAlignment="1">
      <alignment horizontal="center"/>
    </xf>
    <xf numFmtId="43" fontId="25" fillId="0" borderId="11" xfId="1" applyFont="1" applyBorder="1"/>
    <xf numFmtId="43" fontId="26" fillId="35" borderId="11" xfId="1" applyFont="1" applyFill="1" applyBorder="1"/>
    <xf numFmtId="43" fontId="2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166" fontId="3" fillId="0" borderId="11" xfId="1" applyNumberFormat="1" applyFont="1" applyFill="1" applyBorder="1"/>
    <xf numFmtId="43" fontId="3" fillId="0" borderId="11" xfId="1" applyFont="1" applyFill="1" applyBorder="1"/>
    <xf numFmtId="166" fontId="4" fillId="0" borderId="11" xfId="1" applyNumberFormat="1" applyFont="1" applyFill="1" applyBorder="1"/>
    <xf numFmtId="43" fontId="2" fillId="0" borderId="11" xfId="1" applyFont="1" applyFill="1" applyBorder="1"/>
    <xf numFmtId="0" fontId="3" fillId="42" borderId="11" xfId="0" applyFont="1" applyFill="1" applyBorder="1" applyAlignment="1">
      <alignment horizontal="center"/>
    </xf>
    <xf numFmtId="166" fontId="4" fillId="42" borderId="11" xfId="1" applyNumberFormat="1" applyFont="1" applyFill="1" applyBorder="1"/>
    <xf numFmtId="43" fontId="4" fillId="42" borderId="11" xfId="1" applyFont="1" applyFill="1" applyBorder="1"/>
    <xf numFmtId="43" fontId="3" fillId="34" borderId="11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 wrapText="1"/>
    </xf>
    <xf numFmtId="43" fontId="3" fillId="0" borderId="20" xfId="1" applyFont="1" applyBorder="1" applyAlignment="1">
      <alignment horizontal="center" vertical="center" textRotation="90"/>
    </xf>
    <xf numFmtId="43" fontId="3" fillId="0" borderId="18" xfId="1" applyFont="1" applyBorder="1" applyAlignment="1">
      <alignment horizontal="center" vertical="center" textRotation="90"/>
    </xf>
    <xf numFmtId="43" fontId="3" fillId="0" borderId="21" xfId="1" applyFont="1" applyBorder="1" applyAlignment="1">
      <alignment horizontal="center" vertical="center" textRotation="90"/>
    </xf>
    <xf numFmtId="43" fontId="3" fillId="0" borderId="22" xfId="1" applyFont="1" applyBorder="1" applyAlignment="1">
      <alignment horizontal="center" vertical="center" textRotation="90"/>
    </xf>
    <xf numFmtId="43" fontId="3" fillId="0" borderId="23" xfId="1" applyFont="1" applyBorder="1" applyAlignment="1">
      <alignment horizontal="center" vertical="center" textRotation="90"/>
    </xf>
    <xf numFmtId="43" fontId="3" fillId="0" borderId="19" xfId="1" applyFont="1" applyBorder="1" applyAlignment="1">
      <alignment horizontal="center" vertical="center" textRotation="90"/>
    </xf>
    <xf numFmtId="43" fontId="3" fillId="40" borderId="15" xfId="1" applyFont="1" applyFill="1" applyBorder="1" applyAlignment="1">
      <alignment horizontal="center" vertical="center"/>
    </xf>
    <xf numFmtId="43" fontId="3" fillId="40" borderId="16" xfId="1" applyFont="1" applyFill="1" applyBorder="1" applyAlignment="1">
      <alignment horizontal="center" vertical="center"/>
    </xf>
    <xf numFmtId="43" fontId="3" fillId="0" borderId="14" xfId="1" applyFont="1" applyBorder="1" applyAlignment="1">
      <alignment horizontal="center" vertical="center" textRotation="90"/>
    </xf>
    <xf numFmtId="43" fontId="3" fillId="0" borderId="15" xfId="1" applyFont="1" applyBorder="1" applyAlignment="1">
      <alignment horizontal="center" vertical="center" textRotation="90"/>
    </xf>
    <xf numFmtId="43" fontId="3" fillId="0" borderId="16" xfId="1" applyFont="1" applyBorder="1" applyAlignment="1">
      <alignment horizontal="center" vertical="center" textRotation="90"/>
    </xf>
    <xf numFmtId="43" fontId="3" fillId="41" borderId="11" xfId="1" applyFont="1" applyFill="1" applyBorder="1" applyAlignment="1">
      <alignment horizontal="center" vertical="center" wrapText="1"/>
    </xf>
    <xf numFmtId="43" fontId="3" fillId="41" borderId="11" xfId="1" applyFont="1" applyFill="1" applyBorder="1" applyAlignment="1">
      <alignment horizontal="center" vertical="center"/>
    </xf>
    <xf numFmtId="43" fontId="3" fillId="40" borderId="12" xfId="1" applyFont="1" applyFill="1" applyBorder="1" applyAlignment="1">
      <alignment horizontal="center" vertical="center" wrapText="1"/>
    </xf>
    <xf numFmtId="43" fontId="3" fillId="40" borderId="17" xfId="1" applyFont="1" applyFill="1" applyBorder="1" applyAlignment="1">
      <alignment horizontal="center" vertical="center" wrapText="1"/>
    </xf>
    <xf numFmtId="43" fontId="3" fillId="40" borderId="13" xfId="1" applyFont="1" applyFill="1" applyBorder="1" applyAlignment="1">
      <alignment horizontal="center" vertical="center" wrapText="1"/>
    </xf>
    <xf numFmtId="43" fontId="3" fillId="40" borderId="14" xfId="1" applyFont="1" applyFill="1" applyBorder="1" applyAlignment="1">
      <alignment horizontal="center" vertical="center" wrapText="1"/>
    </xf>
    <xf numFmtId="43" fontId="3" fillId="40" borderId="16" xfId="1" applyFont="1" applyFill="1" applyBorder="1" applyAlignment="1">
      <alignment horizontal="center" vertical="center" wrapText="1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42" borderId="14" xfId="0" applyFont="1" applyFill="1" applyBorder="1" applyAlignment="1">
      <alignment horizontal="center" vertical="center"/>
    </xf>
    <xf numFmtId="0" fontId="3" fillId="42" borderId="15" xfId="0" applyFont="1" applyFill="1" applyBorder="1" applyAlignment="1">
      <alignment horizontal="center" vertical="center"/>
    </xf>
    <xf numFmtId="0" fontId="3" fillId="42" borderId="16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40" borderId="15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166" fontId="3" fillId="34" borderId="17" xfId="1" applyNumberFormat="1" applyFont="1" applyFill="1" applyBorder="1" applyAlignment="1">
      <alignment horizontal="center" vertical="center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8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ke\D\07%20&#3591;&#3634;&#3609;&#3648;&#3610;&#3636;&#3585;&#3592;&#3656;&#3634;&#3618;\00%20&#3586;&#3657;&#3629;&#3617;&#3641;&#3621;&#3585;&#3634;&#3619;&#3648;&#3610;&#3636;&#3585;&#3592;&#3656;&#3634;&#3618;\&#3619;&#3634;&#3618;&#3591;&#3634;&#3609;&#3616;&#3634;&#3614;&#3619;&#3623;&#3617;&#3607;&#3640;&#3585;&#3626;&#3636;&#3657;&#3609;&#3648;&#3604;&#3639;&#3629;&#3609;\2562\10%20&#3603;%2031%20&#3605;.&#3588;.62\report_31106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ยงานสถานะโครงการ"/>
      <sheetName val="ภาพรวมเบิกจ่าย"/>
    </sheetNames>
    <sheetDataSet>
      <sheetData sheetId="0" refreshError="1">
        <row r="42">
          <cell r="L42">
            <v>263013571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6"/>
  <sheetViews>
    <sheetView tabSelected="1" zoomScale="70" zoomScaleNormal="70" workbookViewId="0">
      <pane xSplit="2" ySplit="5" topLeftCell="C50" activePane="bottomRight" state="frozen"/>
      <selection pane="topRight" activeCell="C1" sqref="C1"/>
      <selection pane="bottomLeft" activeCell="A4" sqref="A4"/>
      <selection pane="bottomRight" activeCell="R59" sqref="R59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7" width="8.44140625" style="3" bestFit="1" customWidth="1"/>
    <col min="8" max="9" width="16.6640625" style="2" hidden="1" customWidth="1"/>
    <col min="10" max="10" width="18.21875" style="2" hidden="1" customWidth="1"/>
    <col min="11" max="12" width="16.6640625" style="2" hidden="1" customWidth="1"/>
    <col min="13" max="13" width="16.77734375" style="2" hidden="1" customWidth="1"/>
    <col min="14" max="15" width="16.6640625" style="2" hidden="1" customWidth="1"/>
    <col min="16" max="17" width="15.5546875" style="2" hidden="1" customWidth="1"/>
    <col min="18" max="18" width="16.5546875" style="2" bestFit="1" customWidth="1"/>
    <col min="19" max="19" width="16.6640625" style="2" bestFit="1" customWidth="1"/>
    <col min="20" max="20" width="15.5546875" style="2" customWidth="1"/>
    <col min="21" max="21" width="17.5546875" style="2" bestFit="1" customWidth="1"/>
    <col min="22" max="23" width="15.5546875" style="2" customWidth="1"/>
    <col min="24" max="24" width="18.33203125" style="2" bestFit="1" customWidth="1"/>
    <col min="25" max="25" width="17.5546875" style="2" customWidth="1"/>
    <col min="26" max="26" width="15.5546875" style="2" customWidth="1"/>
    <col min="27" max="27" width="18.44140625" style="2" bestFit="1" customWidth="1"/>
    <col min="28" max="28" width="16.6640625" style="2" bestFit="1" customWidth="1"/>
    <col min="29" max="29" width="16.77734375" style="1" bestFit="1" customWidth="1"/>
    <col min="30" max="30" width="18.33203125" style="2" customWidth="1"/>
    <col min="31" max="31" width="18.44140625" style="1" bestFit="1" customWidth="1"/>
    <col min="32" max="32" width="17.6640625" style="1" bestFit="1" customWidth="1"/>
    <col min="33" max="33" width="14" style="2" bestFit="1" customWidth="1"/>
    <col min="34" max="34" width="12.33203125" style="1" bestFit="1" customWidth="1"/>
    <col min="35" max="35" width="14.6640625" style="1" bestFit="1" customWidth="1"/>
    <col min="36" max="16384" width="8.88671875" style="1"/>
  </cols>
  <sheetData>
    <row r="1" spans="1:35" ht="30">
      <c r="A1" s="122" t="s">
        <v>23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</row>
    <row r="2" spans="1:35" ht="30">
      <c r="A2" s="120" t="s">
        <v>114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</row>
    <row r="3" spans="1:35" s="4" customFormat="1" ht="18.600000000000001" customHeight="1">
      <c r="A3" s="83" t="s">
        <v>66</v>
      </c>
      <c r="B3" s="110" t="s">
        <v>1</v>
      </c>
      <c r="C3" s="102" t="s">
        <v>11</v>
      </c>
      <c r="D3" s="103"/>
      <c r="E3" s="102" t="s">
        <v>12</v>
      </c>
      <c r="F3" s="123"/>
      <c r="G3" s="103"/>
      <c r="H3" s="124" t="s">
        <v>78</v>
      </c>
      <c r="I3" s="125"/>
      <c r="J3" s="125"/>
      <c r="K3" s="125"/>
      <c r="L3" s="126"/>
      <c r="M3" s="97" t="s">
        <v>89</v>
      </c>
      <c r="N3" s="98"/>
      <c r="O3" s="98"/>
      <c r="P3" s="98"/>
      <c r="Q3" s="98"/>
      <c r="R3" s="99"/>
      <c r="S3" s="95" t="s">
        <v>88</v>
      </c>
      <c r="T3" s="95"/>
      <c r="U3" s="95"/>
      <c r="V3" s="95"/>
      <c r="W3" s="95"/>
      <c r="X3" s="64"/>
      <c r="Y3" s="80" t="s">
        <v>80</v>
      </c>
      <c r="Z3" s="80" t="s">
        <v>84</v>
      </c>
      <c r="AA3" s="80" t="s">
        <v>85</v>
      </c>
      <c r="AB3" s="80" t="s">
        <v>58</v>
      </c>
      <c r="AC3" s="83" t="s">
        <v>16</v>
      </c>
      <c r="AD3" s="127" t="s">
        <v>24</v>
      </c>
      <c r="AG3" s="47"/>
    </row>
    <row r="4" spans="1:35" s="4" customFormat="1" ht="24.6" customHeight="1">
      <c r="A4" s="110"/>
      <c r="B4" s="110"/>
      <c r="C4" s="104" t="s">
        <v>9</v>
      </c>
      <c r="D4" s="128" t="s">
        <v>10</v>
      </c>
      <c r="E4" s="104" t="s">
        <v>9</v>
      </c>
      <c r="F4" s="104"/>
      <c r="G4" s="104"/>
      <c r="H4" s="80" t="s">
        <v>13</v>
      </c>
      <c r="I4" s="80" t="s">
        <v>76</v>
      </c>
      <c r="J4" s="80" t="s">
        <v>77</v>
      </c>
      <c r="K4" s="80" t="s">
        <v>82</v>
      </c>
      <c r="L4" s="80" t="s">
        <v>81</v>
      </c>
      <c r="M4" s="90" t="s">
        <v>13</v>
      </c>
      <c r="N4" s="90" t="s">
        <v>75</v>
      </c>
      <c r="O4" s="121" t="s">
        <v>76</v>
      </c>
      <c r="P4" s="121" t="s">
        <v>77</v>
      </c>
      <c r="Q4" s="121" t="s">
        <v>82</v>
      </c>
      <c r="R4" s="100" t="s">
        <v>81</v>
      </c>
      <c r="S4" s="96" t="s">
        <v>13</v>
      </c>
      <c r="T4" s="96" t="s">
        <v>75</v>
      </c>
      <c r="U4" s="95" t="s">
        <v>76</v>
      </c>
      <c r="V4" s="95" t="s">
        <v>77</v>
      </c>
      <c r="W4" s="95" t="s">
        <v>82</v>
      </c>
      <c r="X4" s="61" t="s">
        <v>79</v>
      </c>
      <c r="Y4" s="81"/>
      <c r="Z4" s="81"/>
      <c r="AA4" s="81"/>
      <c r="AB4" s="81"/>
      <c r="AC4" s="83"/>
      <c r="AD4" s="127"/>
      <c r="AG4" s="47"/>
    </row>
    <row r="5" spans="1:35" s="4" customFormat="1">
      <c r="A5" s="110"/>
      <c r="B5" s="110"/>
      <c r="C5" s="104"/>
      <c r="D5" s="128"/>
      <c r="E5" s="7" t="s">
        <v>13</v>
      </c>
      <c r="F5" s="7" t="s">
        <v>14</v>
      </c>
      <c r="G5" s="7" t="s">
        <v>15</v>
      </c>
      <c r="H5" s="82"/>
      <c r="I5" s="82"/>
      <c r="J5" s="82"/>
      <c r="K5" s="82"/>
      <c r="L5" s="82"/>
      <c r="M5" s="91"/>
      <c r="N5" s="91"/>
      <c r="O5" s="101"/>
      <c r="P5" s="101"/>
      <c r="Q5" s="101"/>
      <c r="R5" s="101"/>
      <c r="S5" s="96"/>
      <c r="T5" s="96"/>
      <c r="U5" s="95"/>
      <c r="V5" s="95"/>
      <c r="W5" s="95"/>
      <c r="X5" s="62"/>
      <c r="Y5" s="82"/>
      <c r="Z5" s="82"/>
      <c r="AA5" s="82"/>
      <c r="AB5" s="82"/>
      <c r="AC5" s="83"/>
      <c r="AD5" s="127"/>
      <c r="AG5" s="47"/>
    </row>
    <row r="6" spans="1:35" s="5" customFormat="1" ht="24.6" customHeight="1">
      <c r="A6" s="111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Y6" si="0">SUM(I7:I9)</f>
        <v>95896958</v>
      </c>
      <c r="J6" s="10">
        <f t="shared" si="0"/>
        <v>0</v>
      </c>
      <c r="K6" s="10">
        <f t="shared" si="0"/>
        <v>95896958</v>
      </c>
      <c r="L6" s="10">
        <f t="shared" si="0"/>
        <v>-13797258</v>
      </c>
      <c r="M6" s="10">
        <f t="shared" si="0"/>
        <v>0</v>
      </c>
      <c r="N6" s="10">
        <f t="shared" si="0"/>
        <v>17917500</v>
      </c>
      <c r="O6" s="10">
        <f t="shared" si="0"/>
        <v>5814450</v>
      </c>
      <c r="P6" s="92" t="s">
        <v>83</v>
      </c>
      <c r="Q6" s="10">
        <f t="shared" si="0"/>
        <v>5814450</v>
      </c>
      <c r="R6" s="10">
        <f t="shared" si="0"/>
        <v>-38647408</v>
      </c>
      <c r="S6" s="10">
        <f t="shared" si="0"/>
        <v>0</v>
      </c>
      <c r="T6" s="10">
        <f t="shared" si="0"/>
        <v>0</v>
      </c>
      <c r="U6" s="10">
        <f t="shared" si="0"/>
        <v>0</v>
      </c>
      <c r="V6" s="10">
        <f t="shared" si="0"/>
        <v>0</v>
      </c>
      <c r="W6" s="10">
        <f t="shared" si="0"/>
        <v>0</v>
      </c>
      <c r="X6" s="10">
        <f t="shared" si="0"/>
        <v>64182200</v>
      </c>
      <c r="Y6" s="10">
        <f t="shared" si="0"/>
        <v>101711408</v>
      </c>
      <c r="Z6" s="84" t="s">
        <v>83</v>
      </c>
      <c r="AA6" s="85"/>
      <c r="AB6" s="10">
        <f>SUM(AB7:AB9)</f>
        <v>-38647408</v>
      </c>
      <c r="AC6" s="8"/>
      <c r="AD6" s="10"/>
      <c r="AG6" s="48"/>
    </row>
    <row r="7" spans="1:35" ht="24.6" customHeight="1" outlineLevel="1">
      <c r="A7" s="112"/>
      <c r="B7" s="11" t="s">
        <v>3</v>
      </c>
      <c r="C7" s="12"/>
      <c r="D7" s="13"/>
      <c r="E7" s="12"/>
      <c r="F7" s="12"/>
      <c r="G7" s="12"/>
      <c r="H7" s="13">
        <f>53538200</f>
        <v>53538200</v>
      </c>
      <c r="I7" s="13">
        <v>61965908</v>
      </c>
      <c r="J7" s="13"/>
      <c r="K7" s="13">
        <f>SUM(I7-J7)</f>
        <v>61965908</v>
      </c>
      <c r="L7" s="13">
        <f>SUM(H7-K7)</f>
        <v>-8427708</v>
      </c>
      <c r="M7" s="13"/>
      <c r="N7" s="63">
        <f>6300000+2600000+2400000+250000</f>
        <v>11550000</v>
      </c>
      <c r="O7" s="63">
        <v>4956950</v>
      </c>
      <c r="P7" s="93"/>
      <c r="Q7" s="63">
        <f>SUM(O7-P7)</f>
        <v>4956950</v>
      </c>
      <c r="R7" s="63">
        <f>SUM(H7+M7-N7-K7-Q7-1118200)</f>
        <v>-26052858</v>
      </c>
      <c r="S7" s="63"/>
      <c r="T7" s="63"/>
      <c r="U7" s="63"/>
      <c r="V7" s="63"/>
      <c r="W7" s="63">
        <f>SUM(U7-V7)</f>
        <v>0</v>
      </c>
      <c r="X7" s="63">
        <f>+H7+M7+S7-N7-T7</f>
        <v>41988200</v>
      </c>
      <c r="Y7" s="63">
        <f>SUM(K7+Q7+W7)</f>
        <v>66922858</v>
      </c>
      <c r="Z7" s="86"/>
      <c r="AA7" s="87"/>
      <c r="AB7" s="50">
        <f>SUM(X7-Y7)-1118200</f>
        <v>-26052858</v>
      </c>
      <c r="AC7" s="14"/>
      <c r="AD7" s="13"/>
    </row>
    <row r="8" spans="1:35" ht="24.6" customHeight="1" outlineLevel="1">
      <c r="A8" s="112"/>
      <c r="B8" s="11" t="s">
        <v>2</v>
      </c>
      <c r="C8" s="12"/>
      <c r="D8" s="13"/>
      <c r="E8" s="12"/>
      <c r="F8" s="12"/>
      <c r="G8" s="12"/>
      <c r="H8" s="13">
        <f>26175000</f>
        <v>26175000</v>
      </c>
      <c r="I8" s="13">
        <v>31585000</v>
      </c>
      <c r="J8" s="13"/>
      <c r="K8" s="13">
        <f t="shared" ref="K8:K12" si="1">SUM(I8-J8)</f>
        <v>31585000</v>
      </c>
      <c r="L8" s="13">
        <f>SUM(H8-K8)</f>
        <v>-5410000</v>
      </c>
      <c r="M8" s="13"/>
      <c r="N8" s="63">
        <f>3150000+1300000+1200000+125000</f>
        <v>5775000</v>
      </c>
      <c r="O8" s="63">
        <v>832500</v>
      </c>
      <c r="P8" s="93"/>
      <c r="Q8" s="63">
        <f t="shared" ref="Q8:Q12" si="2">SUM(O8-P8)</f>
        <v>832500</v>
      </c>
      <c r="R8" s="63">
        <f t="shared" ref="R8:R12" si="3">SUM(H8+M8-N8-K8-Q8)</f>
        <v>-12017500</v>
      </c>
      <c r="S8" s="63"/>
      <c r="T8" s="63"/>
      <c r="U8" s="63"/>
      <c r="V8" s="63"/>
      <c r="W8" s="63">
        <f>SUM(U8-V8)</f>
        <v>0</v>
      </c>
      <c r="X8" s="63">
        <f t="shared" ref="X8:X12" si="4">+H8+M8+S8-N8-T8</f>
        <v>20400000</v>
      </c>
      <c r="Y8" s="63">
        <f>SUM(K8+Q8+W8)</f>
        <v>32417500</v>
      </c>
      <c r="Z8" s="86"/>
      <c r="AA8" s="87"/>
      <c r="AB8" s="50">
        <f>SUM(X8-Y8)</f>
        <v>-12017500</v>
      </c>
      <c r="AC8" s="14"/>
      <c r="AD8" s="13"/>
    </row>
    <row r="9" spans="1:35" ht="24.6" customHeight="1" outlineLevel="1">
      <c r="A9" s="112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si="1"/>
        <v>2346050</v>
      </c>
      <c r="L9" s="13">
        <f>SUM(H9-K9)</f>
        <v>40450</v>
      </c>
      <c r="M9" s="13"/>
      <c r="N9" s="63">
        <f>157500+157500+65000+65000+60000+60000+6250+6250+15000</f>
        <v>592500</v>
      </c>
      <c r="O9" s="63">
        <v>25000</v>
      </c>
      <c r="P9" s="93"/>
      <c r="Q9" s="63">
        <f t="shared" si="2"/>
        <v>25000</v>
      </c>
      <c r="R9" s="63">
        <f t="shared" si="3"/>
        <v>-577050</v>
      </c>
      <c r="S9" s="63"/>
      <c r="T9" s="63"/>
      <c r="U9" s="63"/>
      <c r="V9" s="63"/>
      <c r="W9" s="63">
        <f>SUM(U9-V9)</f>
        <v>0</v>
      </c>
      <c r="X9" s="63">
        <f t="shared" si="4"/>
        <v>1794000</v>
      </c>
      <c r="Y9" s="63">
        <f>SUM(K9+Q9+W9)</f>
        <v>2371050</v>
      </c>
      <c r="Z9" s="86"/>
      <c r="AA9" s="87"/>
      <c r="AB9" s="50">
        <f>SUM(X9-Y9)</f>
        <v>-577050</v>
      </c>
      <c r="AC9" s="14"/>
      <c r="AD9" s="13"/>
      <c r="AF9" s="33"/>
    </row>
    <row r="10" spans="1:35" s="6" customFormat="1">
      <c r="A10" s="112"/>
      <c r="B10" s="15" t="s">
        <v>7</v>
      </c>
      <c r="C10" s="16"/>
      <c r="D10" s="17"/>
      <c r="E10" s="16"/>
      <c r="F10" s="16"/>
      <c r="G10" s="16"/>
      <c r="H10" s="17">
        <f>SUM(H11:H12)</f>
        <v>134294866.96000001</v>
      </c>
      <c r="I10" s="17">
        <f t="shared" ref="I10:Y10" si="5">SUM(I11:I12)</f>
        <v>122069729.96000001</v>
      </c>
      <c r="J10" s="17">
        <f t="shared" si="5"/>
        <v>0</v>
      </c>
      <c r="K10" s="17">
        <f t="shared" si="5"/>
        <v>122069729.96000001</v>
      </c>
      <c r="L10" s="17">
        <f t="shared" si="5"/>
        <v>12225137</v>
      </c>
      <c r="M10" s="17">
        <f t="shared" si="5"/>
        <v>473994</v>
      </c>
      <c r="N10" s="17">
        <f t="shared" si="5"/>
        <v>18882000</v>
      </c>
      <c r="O10" s="17">
        <f t="shared" si="5"/>
        <v>720000</v>
      </c>
      <c r="P10" s="93"/>
      <c r="Q10" s="17">
        <f t="shared" si="5"/>
        <v>720000</v>
      </c>
      <c r="R10" s="17">
        <f t="shared" si="5"/>
        <v>-6902869</v>
      </c>
      <c r="S10" s="17">
        <f t="shared" si="5"/>
        <v>0</v>
      </c>
      <c r="T10" s="17">
        <f t="shared" si="5"/>
        <v>0</v>
      </c>
      <c r="U10" s="17">
        <f t="shared" si="5"/>
        <v>0</v>
      </c>
      <c r="V10" s="17">
        <f t="shared" si="5"/>
        <v>0</v>
      </c>
      <c r="W10" s="17">
        <f t="shared" si="5"/>
        <v>0</v>
      </c>
      <c r="X10" s="17">
        <f t="shared" si="5"/>
        <v>115886860.96000001</v>
      </c>
      <c r="Y10" s="17">
        <f t="shared" si="5"/>
        <v>122789729.96000001</v>
      </c>
      <c r="Z10" s="86"/>
      <c r="AA10" s="87"/>
      <c r="AB10" s="10">
        <f>SUM(AB11:AB12)</f>
        <v>-6902869</v>
      </c>
      <c r="AC10" s="15"/>
      <c r="AD10" s="17"/>
      <c r="AE10" s="34"/>
      <c r="AG10" s="49"/>
    </row>
    <row r="11" spans="1:35" ht="24.6" customHeight="1" outlineLevel="1">
      <c r="A11" s="112"/>
      <c r="B11" s="11" t="s">
        <v>5</v>
      </c>
      <c r="C11" s="12"/>
      <c r="D11" s="13"/>
      <c r="E11" s="12"/>
      <c r="F11" s="12"/>
      <c r="G11" s="12"/>
      <c r="H11" s="13">
        <f>109712000</f>
        <v>109712000</v>
      </c>
      <c r="I11" s="13">
        <v>105320000</v>
      </c>
      <c r="J11" s="13"/>
      <c r="K11" s="13">
        <f>SUM(I11-J11)</f>
        <v>105320000</v>
      </c>
      <c r="L11" s="13">
        <f>SUM(H11-K11)</f>
        <v>4392000</v>
      </c>
      <c r="M11" s="13"/>
      <c r="N11" s="63">
        <f>9072000+3744000+3456000+360000+1800000</f>
        <v>18432000</v>
      </c>
      <c r="O11" s="63">
        <v>720000</v>
      </c>
      <c r="P11" s="93"/>
      <c r="Q11" s="63">
        <f t="shared" si="2"/>
        <v>720000</v>
      </c>
      <c r="R11" s="63">
        <f t="shared" si="3"/>
        <v>-14760000</v>
      </c>
      <c r="S11" s="63"/>
      <c r="T11" s="63"/>
      <c r="U11" s="63"/>
      <c r="V11" s="63"/>
      <c r="W11" s="63">
        <f>SUM(U11-V11)</f>
        <v>0</v>
      </c>
      <c r="X11" s="63">
        <f t="shared" si="4"/>
        <v>91280000</v>
      </c>
      <c r="Y11" s="63">
        <f>SUM(K11+Q11+W11)</f>
        <v>106040000</v>
      </c>
      <c r="Z11" s="86"/>
      <c r="AA11" s="87"/>
      <c r="AB11" s="50">
        <f>SUM(X11-Y11)</f>
        <v>-14760000</v>
      </c>
      <c r="AC11" s="14"/>
      <c r="AD11" s="13"/>
    </row>
    <row r="12" spans="1:35" ht="24.6" customHeight="1" outlineLevel="1">
      <c r="A12" s="112"/>
      <c r="B12" s="11" t="s">
        <v>6</v>
      </c>
      <c r="C12" s="12"/>
      <c r="D12" s="13"/>
      <c r="E12" s="12"/>
      <c r="F12" s="12"/>
      <c r="G12" s="12"/>
      <c r="H12" s="13">
        <f>24582866.96</f>
        <v>24582866.960000001</v>
      </c>
      <c r="I12" s="13">
        <v>16749729.960000001</v>
      </c>
      <c r="J12" s="13"/>
      <c r="K12" s="13">
        <f t="shared" si="1"/>
        <v>16749729.960000001</v>
      </c>
      <c r="L12" s="13">
        <f>SUM(H12-K12)</f>
        <v>7833137</v>
      </c>
      <c r="M12" s="13">
        <v>473994</v>
      </c>
      <c r="N12" s="63">
        <v>450000</v>
      </c>
      <c r="O12" s="63"/>
      <c r="P12" s="94"/>
      <c r="Q12" s="63">
        <f t="shared" si="2"/>
        <v>0</v>
      </c>
      <c r="R12" s="63">
        <f t="shared" si="3"/>
        <v>7857131</v>
      </c>
      <c r="S12" s="63"/>
      <c r="T12" s="63"/>
      <c r="U12" s="63"/>
      <c r="V12" s="63"/>
      <c r="W12" s="63">
        <f>SUM(U12-V12)</f>
        <v>0</v>
      </c>
      <c r="X12" s="63">
        <f t="shared" si="4"/>
        <v>24606860.960000001</v>
      </c>
      <c r="Y12" s="63">
        <f>SUM(K12+Q12+W12)</f>
        <v>16749729.960000001</v>
      </c>
      <c r="Z12" s="88"/>
      <c r="AA12" s="89"/>
      <c r="AB12" s="50">
        <f>SUM(X12-Y12)</f>
        <v>7857131</v>
      </c>
      <c r="AC12" s="14"/>
      <c r="AD12" s="13"/>
    </row>
    <row r="13" spans="1:35" s="6" customFormat="1" ht="26.4">
      <c r="A13" s="113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 t="shared" ref="H13:Y13" si="6">+H6+H10</f>
        <v>216394566.96000001</v>
      </c>
      <c r="I13" s="24">
        <f t="shared" si="6"/>
        <v>217966687.96000001</v>
      </c>
      <c r="J13" s="24">
        <v>25510831</v>
      </c>
      <c r="K13" s="24">
        <f t="shared" si="6"/>
        <v>217966687.96000001</v>
      </c>
      <c r="L13" s="24">
        <f>SUM(L6+L10)+J13-1118200</f>
        <v>22820510</v>
      </c>
      <c r="M13" s="24">
        <f>+M6+M10</f>
        <v>473994</v>
      </c>
      <c r="N13" s="24">
        <f t="shared" si="6"/>
        <v>36799500</v>
      </c>
      <c r="O13" s="24">
        <f t="shared" si="6"/>
        <v>6534450</v>
      </c>
      <c r="P13" s="24">
        <v>10753327</v>
      </c>
      <c r="Q13" s="24">
        <f t="shared" si="6"/>
        <v>6534450</v>
      </c>
      <c r="R13" s="24">
        <f>SUM(R6+R10+J13+P13)</f>
        <v>-9286119</v>
      </c>
      <c r="S13" s="24">
        <f>+S6+S10</f>
        <v>0</v>
      </c>
      <c r="T13" s="24">
        <f t="shared" si="6"/>
        <v>0</v>
      </c>
      <c r="U13" s="24">
        <f t="shared" si="6"/>
        <v>0</v>
      </c>
      <c r="V13" s="24">
        <v>225000</v>
      </c>
      <c r="W13" s="24">
        <f t="shared" si="6"/>
        <v>0</v>
      </c>
      <c r="X13" s="24">
        <f>+X6+X10</f>
        <v>180069060.96000001</v>
      </c>
      <c r="Y13" s="24">
        <f t="shared" si="6"/>
        <v>224501137.96000001</v>
      </c>
      <c r="Z13" s="24">
        <f>SUM(J13+P13+V13)</f>
        <v>36489158</v>
      </c>
      <c r="AA13" s="24">
        <f>SUM(Y13-Z13)</f>
        <v>188011979.96000001</v>
      </c>
      <c r="AB13" s="24">
        <f>SUM(AB6+AB10)+Z13</f>
        <v>-9061119</v>
      </c>
      <c r="AC13" s="25">
        <f>+Y13*100/H13</f>
        <v>103.74619895216615</v>
      </c>
      <c r="AD13" s="24">
        <f>+D13-X13</f>
        <v>124730939.03999999</v>
      </c>
      <c r="AE13" s="34"/>
      <c r="AG13" s="49"/>
    </row>
    <row r="14" spans="1:35" s="6" customFormat="1" ht="24" customHeight="1">
      <c r="A14" s="114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AA14" si="7">SUM(H15:H16)</f>
        <v>560098612</v>
      </c>
      <c r="I14" s="17">
        <f t="shared" si="7"/>
        <v>365969062</v>
      </c>
      <c r="J14" s="17">
        <f t="shared" si="7"/>
        <v>0</v>
      </c>
      <c r="K14" s="17">
        <f t="shared" si="7"/>
        <v>365969062</v>
      </c>
      <c r="L14" s="17">
        <f t="shared" si="7"/>
        <v>194129550</v>
      </c>
      <c r="M14" s="17">
        <f t="shared" si="7"/>
        <v>2962100</v>
      </c>
      <c r="N14" s="17">
        <f t="shared" si="7"/>
        <v>25699500</v>
      </c>
      <c r="O14" s="17">
        <f t="shared" si="7"/>
        <v>47688599</v>
      </c>
      <c r="P14" s="17">
        <f t="shared" si="7"/>
        <v>0</v>
      </c>
      <c r="Q14" s="17">
        <f t="shared" si="7"/>
        <v>47688599</v>
      </c>
      <c r="R14" s="17">
        <f t="shared" si="7"/>
        <v>123703551</v>
      </c>
      <c r="S14" s="17">
        <f t="shared" si="7"/>
        <v>2843000</v>
      </c>
      <c r="T14" s="17">
        <f t="shared" si="7"/>
        <v>0</v>
      </c>
      <c r="U14" s="17">
        <f t="shared" si="7"/>
        <v>2666000</v>
      </c>
      <c r="V14" s="17">
        <f t="shared" si="7"/>
        <v>0</v>
      </c>
      <c r="W14" s="17">
        <f t="shared" si="7"/>
        <v>2666000</v>
      </c>
      <c r="X14" s="66">
        <f t="shared" si="7"/>
        <v>540204212</v>
      </c>
      <c r="Y14" s="66">
        <f t="shared" si="7"/>
        <v>416323661</v>
      </c>
      <c r="Z14" s="66">
        <f t="shared" si="7"/>
        <v>0</v>
      </c>
      <c r="AA14" s="66">
        <f t="shared" si="7"/>
        <v>0</v>
      </c>
      <c r="AB14" s="66">
        <f>SUM(AB15:AB16)</f>
        <v>123880551</v>
      </c>
      <c r="AC14" s="15"/>
      <c r="AD14" s="18"/>
      <c r="AG14" s="49"/>
    </row>
    <row r="15" spans="1:35" ht="24" customHeight="1" outlineLevel="1">
      <c r="A15" s="115"/>
      <c r="B15" s="19" t="s">
        <v>17</v>
      </c>
      <c r="C15" s="12"/>
      <c r="D15" s="13">
        <v>338112000</v>
      </c>
      <c r="E15" s="12"/>
      <c r="F15" s="12"/>
      <c r="G15" s="12"/>
      <c r="H15" s="13">
        <v>269194112</v>
      </c>
      <c r="I15" s="13">
        <v>143893034</v>
      </c>
      <c r="J15" s="13"/>
      <c r="K15" s="13">
        <f t="shared" ref="K15:K19" si="8">SUM(I15-J15)</f>
        <v>143893034</v>
      </c>
      <c r="L15" s="13">
        <f>SUM(H15-K15)</f>
        <v>125301078</v>
      </c>
      <c r="M15" s="13">
        <f>121600+150000+66000+800000+352000</f>
        <v>1489600</v>
      </c>
      <c r="N15" s="13">
        <v>8912000</v>
      </c>
      <c r="O15" s="13">
        <v>32228877</v>
      </c>
      <c r="P15" s="13"/>
      <c r="Q15" s="63">
        <f t="shared" ref="Q15:Q19" si="9">SUM(O15-P15)</f>
        <v>32228877</v>
      </c>
      <c r="R15" s="63">
        <f>SUM(H15+M15-N15-K15-Q15)</f>
        <v>85649801</v>
      </c>
      <c r="S15" s="63">
        <f>950000+418000</f>
        <v>1368000</v>
      </c>
      <c r="T15" s="63"/>
      <c r="U15" s="63">
        <f>800000+352000+144000</f>
        <v>1296000</v>
      </c>
      <c r="V15" s="63"/>
      <c r="W15" s="63">
        <f>SUM(U15-V15)</f>
        <v>1296000</v>
      </c>
      <c r="X15" s="63">
        <f t="shared" ref="X15:X16" si="10">+H15+M15+S15-N15-T15</f>
        <v>263139712</v>
      </c>
      <c r="Y15" s="63">
        <f>SUM(K15+Q15+W15)</f>
        <v>177417911</v>
      </c>
      <c r="Z15" s="63"/>
      <c r="AA15" s="63"/>
      <c r="AB15" s="50">
        <f>SUM(X15-Y15)</f>
        <v>85721801</v>
      </c>
      <c r="AC15" s="14"/>
      <c r="AD15" s="13"/>
      <c r="AF15" s="33"/>
      <c r="AI15" s="33"/>
    </row>
    <row r="16" spans="1:35" ht="24" customHeight="1" outlineLevel="1">
      <c r="A16" s="115"/>
      <c r="B16" s="11" t="s">
        <v>18</v>
      </c>
      <c r="C16" s="12"/>
      <c r="D16" s="13">
        <v>365841600</v>
      </c>
      <c r="E16" s="12"/>
      <c r="F16" s="12"/>
      <c r="G16" s="12"/>
      <c r="H16" s="13">
        <v>290904500</v>
      </c>
      <c r="I16" s="13">
        <v>222076028</v>
      </c>
      <c r="J16" s="13"/>
      <c r="K16" s="13">
        <f t="shared" si="8"/>
        <v>222076028</v>
      </c>
      <c r="L16" s="13">
        <f>SUM(H16-K16)</f>
        <v>68828472</v>
      </c>
      <c r="M16" s="13">
        <f>9000+216000+3750+3750+48000+1152000+20000+20000</f>
        <v>1472500</v>
      </c>
      <c r="N16" s="13">
        <v>16787500</v>
      </c>
      <c r="O16" s="13">
        <v>15459722</v>
      </c>
      <c r="P16" s="13"/>
      <c r="Q16" s="63">
        <f t="shared" si="9"/>
        <v>15459722</v>
      </c>
      <c r="R16" s="63">
        <f>SUM(H16+M16-N16-K16-Q16)</f>
        <v>38053750</v>
      </c>
      <c r="S16" s="63">
        <f>57000+1368000+25000+25000</f>
        <v>1475000</v>
      </c>
      <c r="T16" s="63"/>
      <c r="U16" s="63">
        <f>48000+1152000+20000+144000+6000</f>
        <v>1370000</v>
      </c>
      <c r="V16" s="63"/>
      <c r="W16" s="63">
        <f>SUM(U16-V16)</f>
        <v>1370000</v>
      </c>
      <c r="X16" s="63">
        <f t="shared" si="10"/>
        <v>277064500</v>
      </c>
      <c r="Y16" s="63">
        <f>SUM(K16+Q16+W16)</f>
        <v>238905750</v>
      </c>
      <c r="Z16" s="63"/>
      <c r="AA16" s="63"/>
      <c r="AB16" s="50">
        <f>SUM(X16-Y16)</f>
        <v>38158750</v>
      </c>
      <c r="AC16" s="14"/>
      <c r="AD16" s="13"/>
      <c r="AE16" s="33"/>
      <c r="AI16" s="33"/>
    </row>
    <row r="17" spans="1:33" s="6" customFormat="1" ht="24" customHeight="1">
      <c r="A17" s="115"/>
      <c r="B17" s="15" t="s">
        <v>19</v>
      </c>
      <c r="C17" s="16"/>
      <c r="D17" s="17">
        <f>SUM(D18:D19)</f>
        <v>47406400</v>
      </c>
      <c r="E17" s="16"/>
      <c r="F17" s="16"/>
      <c r="G17" s="16"/>
      <c r="H17" s="17">
        <f t="shared" ref="H17:L17" si="11">SUM(H18:H19)</f>
        <v>47406400</v>
      </c>
      <c r="I17" s="17">
        <f t="shared" si="11"/>
        <v>47406400</v>
      </c>
      <c r="J17" s="17">
        <f t="shared" si="11"/>
        <v>0</v>
      </c>
      <c r="K17" s="17">
        <f t="shared" si="11"/>
        <v>47406400</v>
      </c>
      <c r="L17" s="17">
        <f t="shared" si="11"/>
        <v>0</v>
      </c>
      <c r="M17" s="17">
        <f>SUM(M18:M19)</f>
        <v>0</v>
      </c>
      <c r="N17" s="17">
        <f t="shared" ref="N17:AB17" si="12">SUM(N18:N19)</f>
        <v>0</v>
      </c>
      <c r="O17" s="17">
        <f t="shared" si="12"/>
        <v>0</v>
      </c>
      <c r="P17" s="17">
        <f t="shared" si="12"/>
        <v>0</v>
      </c>
      <c r="Q17" s="17">
        <f t="shared" si="12"/>
        <v>0</v>
      </c>
      <c r="R17" s="17">
        <f t="shared" si="12"/>
        <v>0</v>
      </c>
      <c r="S17" s="17">
        <f t="shared" si="12"/>
        <v>0</v>
      </c>
      <c r="T17" s="17">
        <f t="shared" si="12"/>
        <v>0</v>
      </c>
      <c r="U17" s="17">
        <f t="shared" si="12"/>
        <v>0</v>
      </c>
      <c r="V17" s="17">
        <f t="shared" si="12"/>
        <v>0</v>
      </c>
      <c r="W17" s="17">
        <f t="shared" si="12"/>
        <v>0</v>
      </c>
      <c r="X17" s="17">
        <f t="shared" si="12"/>
        <v>47406400</v>
      </c>
      <c r="Y17" s="66">
        <f t="shared" si="12"/>
        <v>47406400</v>
      </c>
      <c r="Z17" s="66">
        <f t="shared" si="12"/>
        <v>0</v>
      </c>
      <c r="AA17" s="66">
        <f t="shared" si="12"/>
        <v>0</v>
      </c>
      <c r="AB17" s="66">
        <f t="shared" si="12"/>
        <v>0</v>
      </c>
      <c r="AC17" s="15"/>
      <c r="AD17" s="18"/>
      <c r="AG17" s="49"/>
    </row>
    <row r="18" spans="1:33" ht="24" customHeight="1" outlineLevel="1">
      <c r="A18" s="115"/>
      <c r="B18" s="11" t="s">
        <v>20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 t="shared" si="8"/>
        <v>3756800</v>
      </c>
      <c r="L18" s="13">
        <f>SUM(H18-K18)</f>
        <v>0</v>
      </c>
      <c r="M18" s="13"/>
      <c r="N18" s="13"/>
      <c r="O18" s="13"/>
      <c r="P18" s="13"/>
      <c r="Q18" s="63">
        <f t="shared" si="9"/>
        <v>0</v>
      </c>
      <c r="R18" s="63">
        <f>SUM(H18+M18-N18-K18-Q18)</f>
        <v>0</v>
      </c>
      <c r="S18" s="63"/>
      <c r="T18" s="63"/>
      <c r="U18" s="63"/>
      <c r="V18" s="63"/>
      <c r="W18" s="63">
        <f>SUM(U18-V18)</f>
        <v>0</v>
      </c>
      <c r="X18" s="63">
        <f t="shared" ref="X18:X19" si="13">+H18+M18+S18-N18-T18</f>
        <v>3756800</v>
      </c>
      <c r="Y18" s="63">
        <f>SUM(K18+Q18+W18)</f>
        <v>3756800</v>
      </c>
      <c r="Z18" s="63"/>
      <c r="AA18" s="63"/>
      <c r="AB18" s="50">
        <f>SUM(X18-Y18)</f>
        <v>0</v>
      </c>
      <c r="AC18" s="14"/>
      <c r="AD18" s="13"/>
    </row>
    <row r="19" spans="1:33" ht="24" customHeight="1" outlineLevel="1">
      <c r="A19" s="115"/>
      <c r="B19" s="11" t="s">
        <v>21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 t="shared" si="8"/>
        <v>43649600</v>
      </c>
      <c r="L19" s="13">
        <f>SUM(H19-K19)</f>
        <v>0</v>
      </c>
      <c r="M19" s="13"/>
      <c r="N19" s="13"/>
      <c r="O19" s="13"/>
      <c r="P19" s="13"/>
      <c r="Q19" s="63">
        <f t="shared" si="9"/>
        <v>0</v>
      </c>
      <c r="R19" s="63">
        <f>SUM(H19+M19-N19-K19-Q19)</f>
        <v>0</v>
      </c>
      <c r="S19" s="63"/>
      <c r="T19" s="63"/>
      <c r="U19" s="63"/>
      <c r="V19" s="63"/>
      <c r="W19" s="63">
        <f>SUM(U19-V19)</f>
        <v>0</v>
      </c>
      <c r="X19" s="63">
        <f t="shared" si="13"/>
        <v>43649600</v>
      </c>
      <c r="Y19" s="63">
        <f>SUM(K19+Q19+W19)</f>
        <v>43649600</v>
      </c>
      <c r="Z19" s="63"/>
      <c r="AA19" s="63"/>
      <c r="AB19" s="50">
        <f>SUM(X19-Y19)</f>
        <v>0</v>
      </c>
      <c r="AC19" s="14"/>
      <c r="AD19" s="13"/>
    </row>
    <row r="20" spans="1:33" s="6" customFormat="1" ht="26.4">
      <c r="A20" s="116"/>
      <c r="B20" s="26" t="s">
        <v>8</v>
      </c>
      <c r="C20" s="27">
        <v>4696</v>
      </c>
      <c r="D20" s="28">
        <f>+D17+D14</f>
        <v>751360000</v>
      </c>
      <c r="E20" s="27">
        <f>3552+591+7+16</f>
        <v>4166</v>
      </c>
      <c r="F20" s="27">
        <f>34+142+89</f>
        <v>265</v>
      </c>
      <c r="G20" s="27">
        <f>+E20-F20</f>
        <v>3901</v>
      </c>
      <c r="H20" s="28">
        <f>+H14+H17</f>
        <v>607505012</v>
      </c>
      <c r="I20" s="28">
        <f>+I14+I17</f>
        <v>413375462</v>
      </c>
      <c r="J20" s="28">
        <v>27500</v>
      </c>
      <c r="K20" s="28">
        <f t="shared" ref="K20" si="14">+K14+K17</f>
        <v>413375462</v>
      </c>
      <c r="L20" s="28">
        <f>SUM(L14+L17)+J20</f>
        <v>194157050</v>
      </c>
      <c r="M20" s="28">
        <f t="shared" ref="M20:Y20" si="15">+M14+M17</f>
        <v>2962100</v>
      </c>
      <c r="N20" s="28">
        <f t="shared" si="15"/>
        <v>25699500</v>
      </c>
      <c r="O20" s="28">
        <f t="shared" si="15"/>
        <v>47688599</v>
      </c>
      <c r="P20" s="28">
        <v>10000</v>
      </c>
      <c r="Q20" s="28">
        <f t="shared" si="15"/>
        <v>47688599</v>
      </c>
      <c r="R20" s="28">
        <f>SUM(R14+R17+J20+P20)</f>
        <v>123741051</v>
      </c>
      <c r="S20" s="28">
        <f t="shared" si="15"/>
        <v>2843000</v>
      </c>
      <c r="T20" s="28">
        <f t="shared" si="15"/>
        <v>0</v>
      </c>
      <c r="U20" s="28">
        <f t="shared" si="15"/>
        <v>2666000</v>
      </c>
      <c r="V20" s="28">
        <v>42500</v>
      </c>
      <c r="W20" s="28">
        <f t="shared" si="15"/>
        <v>2666000</v>
      </c>
      <c r="X20" s="28">
        <f t="shared" si="15"/>
        <v>587610612</v>
      </c>
      <c r="Y20" s="67">
        <f t="shared" si="15"/>
        <v>463730061</v>
      </c>
      <c r="Z20" s="67">
        <f>SUM(J20+P20+V20)</f>
        <v>80000</v>
      </c>
      <c r="AA20" s="67">
        <f>Y20-Z20</f>
        <v>463650061</v>
      </c>
      <c r="AB20" s="67">
        <f>SUM(AB14+AB17)+Z20</f>
        <v>123960551</v>
      </c>
      <c r="AC20" s="29">
        <f>+Y20*100/H20</f>
        <v>76.333536652369219</v>
      </c>
      <c r="AD20" s="28">
        <f>+D20-X20</f>
        <v>163749388</v>
      </c>
      <c r="AE20" s="34"/>
      <c r="AG20" s="49"/>
    </row>
    <row r="21" spans="1:33" ht="24" customHeight="1">
      <c r="A21" s="107">
        <v>2561</v>
      </c>
      <c r="B21" s="8" t="s">
        <v>62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AA21" si="16">SUM(H22:H26)</f>
        <v>35782328</v>
      </c>
      <c r="I21" s="17">
        <f t="shared" si="16"/>
        <v>31339608</v>
      </c>
      <c r="J21" s="17">
        <f t="shared" si="16"/>
        <v>0</v>
      </c>
      <c r="K21" s="17">
        <f t="shared" si="16"/>
        <v>31339608</v>
      </c>
      <c r="L21" s="17">
        <f t="shared" si="16"/>
        <v>4442720</v>
      </c>
      <c r="M21" s="17">
        <f t="shared" si="16"/>
        <v>0</v>
      </c>
      <c r="N21" s="17">
        <f t="shared" si="16"/>
        <v>0</v>
      </c>
      <c r="O21" s="17">
        <f t="shared" si="16"/>
        <v>2534940</v>
      </c>
      <c r="P21" s="17">
        <f t="shared" si="16"/>
        <v>0</v>
      </c>
      <c r="Q21" s="17">
        <f t="shared" si="16"/>
        <v>2534940</v>
      </c>
      <c r="R21" s="17">
        <f t="shared" si="16"/>
        <v>1907780</v>
      </c>
      <c r="S21" s="17">
        <f t="shared" si="16"/>
        <v>0</v>
      </c>
      <c r="T21" s="17">
        <f t="shared" si="16"/>
        <v>0</v>
      </c>
      <c r="U21" s="17">
        <f t="shared" si="16"/>
        <v>0</v>
      </c>
      <c r="V21" s="17">
        <f t="shared" si="16"/>
        <v>0</v>
      </c>
      <c r="W21" s="17">
        <f t="shared" si="16"/>
        <v>0</v>
      </c>
      <c r="X21" s="17">
        <f t="shared" si="16"/>
        <v>35782328</v>
      </c>
      <c r="Y21" s="17">
        <f t="shared" si="16"/>
        <v>33874548</v>
      </c>
      <c r="Z21" s="17">
        <f t="shared" si="16"/>
        <v>0</v>
      </c>
      <c r="AA21" s="17">
        <f t="shared" si="16"/>
        <v>0</v>
      </c>
      <c r="AB21" s="17">
        <f>SUM(AB22:AB26)</f>
        <v>1907780</v>
      </c>
      <c r="AC21" s="17"/>
      <c r="AD21" s="59">
        <f>+D21-H21-M21</f>
        <v>210000</v>
      </c>
    </row>
    <row r="22" spans="1:33" ht="24" customHeight="1" outlineLevel="1">
      <c r="A22" s="108"/>
      <c r="B22" s="19" t="s">
        <v>74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10062000</v>
      </c>
      <c r="J22" s="13"/>
      <c r="K22" s="13">
        <f t="shared" ref="K22:K38" si="17">SUM(I22-J22)</f>
        <v>10062000</v>
      </c>
      <c r="L22" s="13">
        <f>SUM(H22-K22)</f>
        <v>2085000</v>
      </c>
      <c r="M22" s="13"/>
      <c r="N22" s="13"/>
      <c r="O22" s="13">
        <v>1314000</v>
      </c>
      <c r="P22" s="13"/>
      <c r="Q22" s="63">
        <f t="shared" ref="Q22:Q26" si="18">SUM(O22-P22)</f>
        <v>1314000</v>
      </c>
      <c r="R22" s="63">
        <f t="shared" ref="R22:R38" si="19">SUM(H22+M22-N22-K22-Q22)</f>
        <v>771000</v>
      </c>
      <c r="S22" s="63"/>
      <c r="T22" s="63"/>
      <c r="U22" s="63"/>
      <c r="V22" s="63"/>
      <c r="W22" s="63">
        <f>SUM(U22-V22)</f>
        <v>0</v>
      </c>
      <c r="X22" s="63">
        <f t="shared" ref="X22:X26" si="20">+H22+M22+S22-N22-T22</f>
        <v>12147000</v>
      </c>
      <c r="Y22" s="63">
        <f>SUM(K22+Q22+W22)</f>
        <v>11376000</v>
      </c>
      <c r="Z22" s="63"/>
      <c r="AA22" s="63"/>
      <c r="AB22" s="50">
        <f>SUM(X22-Y22)</f>
        <v>771000</v>
      </c>
      <c r="AC22" s="14"/>
      <c r="AD22" s="13"/>
      <c r="AF22" s="33"/>
    </row>
    <row r="23" spans="1:33" ht="24" customHeight="1" outlineLevel="1">
      <c r="A23" s="108"/>
      <c r="B23" s="19" t="s">
        <v>73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>
        <f t="shared" si="17"/>
        <v>1966370</v>
      </c>
      <c r="L23" s="13">
        <f>SUM(H23-K23)</f>
        <v>825880</v>
      </c>
      <c r="M23" s="13"/>
      <c r="N23" s="13"/>
      <c r="O23" s="13"/>
      <c r="P23" s="13"/>
      <c r="Q23" s="63">
        <f t="shared" si="18"/>
        <v>0</v>
      </c>
      <c r="R23" s="63">
        <f t="shared" si="19"/>
        <v>825880</v>
      </c>
      <c r="S23" s="63"/>
      <c r="T23" s="63"/>
      <c r="U23" s="63"/>
      <c r="V23" s="63"/>
      <c r="W23" s="63">
        <f>SUM(U23-V23)</f>
        <v>0</v>
      </c>
      <c r="X23" s="63">
        <f t="shared" si="20"/>
        <v>2792250</v>
      </c>
      <c r="Y23" s="63">
        <f>SUM(K23+Q23+W23)</f>
        <v>1966370</v>
      </c>
      <c r="Z23" s="63"/>
      <c r="AA23" s="63"/>
      <c r="AB23" s="50">
        <f>SUM(X23-Y23)</f>
        <v>825880</v>
      </c>
      <c r="AC23" s="14"/>
      <c r="AD23" s="13"/>
      <c r="AF23" s="33"/>
    </row>
    <row r="24" spans="1:33" ht="24" customHeight="1" outlineLevel="1">
      <c r="A24" s="108"/>
      <c r="B24" s="11" t="s">
        <v>25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3037960</v>
      </c>
      <c r="J24" s="13"/>
      <c r="K24" s="13">
        <f t="shared" si="17"/>
        <v>3037960</v>
      </c>
      <c r="L24" s="13">
        <f>SUM(H24-K24)</f>
        <v>1531840</v>
      </c>
      <c r="M24" s="13"/>
      <c r="N24" s="13"/>
      <c r="O24" s="13">
        <v>1220940</v>
      </c>
      <c r="P24" s="13"/>
      <c r="Q24" s="63">
        <f t="shared" si="18"/>
        <v>1220940</v>
      </c>
      <c r="R24" s="63">
        <f t="shared" si="19"/>
        <v>310900</v>
      </c>
      <c r="S24" s="63"/>
      <c r="T24" s="63"/>
      <c r="U24" s="63"/>
      <c r="V24" s="63"/>
      <c r="W24" s="63">
        <f>SUM(U24-V24)</f>
        <v>0</v>
      </c>
      <c r="X24" s="63">
        <f t="shared" si="20"/>
        <v>4569800</v>
      </c>
      <c r="Y24" s="63">
        <f>SUM(K24+Q24+W24)</f>
        <v>4258900</v>
      </c>
      <c r="Z24" s="63"/>
      <c r="AA24" s="63"/>
      <c r="AB24" s="50">
        <f>SUM(X24-Y24)</f>
        <v>310900</v>
      </c>
      <c r="AC24" s="14"/>
      <c r="AD24" s="13"/>
    </row>
    <row r="25" spans="1:33" ht="24" customHeight="1" outlineLevel="1">
      <c r="A25" s="108"/>
      <c r="B25" s="11" t="s">
        <v>26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>
        <f t="shared" si="17"/>
        <v>273278</v>
      </c>
      <c r="L25" s="13">
        <f>SUM(H25-K25)</f>
        <v>0</v>
      </c>
      <c r="M25" s="13"/>
      <c r="N25" s="13"/>
      <c r="O25" s="13"/>
      <c r="P25" s="13"/>
      <c r="Q25" s="63">
        <f t="shared" si="18"/>
        <v>0</v>
      </c>
      <c r="R25" s="63">
        <f t="shared" si="19"/>
        <v>0</v>
      </c>
      <c r="S25" s="63"/>
      <c r="T25" s="63"/>
      <c r="U25" s="63"/>
      <c r="V25" s="63"/>
      <c r="W25" s="63">
        <f>SUM(U25-V25)</f>
        <v>0</v>
      </c>
      <c r="X25" s="63">
        <f t="shared" si="20"/>
        <v>273278</v>
      </c>
      <c r="Y25" s="63">
        <f>SUM(K25+Q25+W25)</f>
        <v>273278</v>
      </c>
      <c r="Z25" s="63"/>
      <c r="AA25" s="63"/>
      <c r="AB25" s="50">
        <f>SUM(X25-Y25)</f>
        <v>0</v>
      </c>
      <c r="AC25" s="14"/>
      <c r="AD25" s="13"/>
    </row>
    <row r="26" spans="1:33" ht="24" customHeight="1" outlineLevel="1">
      <c r="A26" s="109"/>
      <c r="B26" s="11" t="s">
        <v>21</v>
      </c>
      <c r="C26" s="12"/>
      <c r="D26" s="13">
        <v>16000000</v>
      </c>
      <c r="E26" s="12"/>
      <c r="F26" s="12"/>
      <c r="G26" s="12"/>
      <c r="H26" s="13">
        <v>16000000</v>
      </c>
      <c r="I26" s="13">
        <v>16000000</v>
      </c>
      <c r="J26" s="13"/>
      <c r="K26" s="13">
        <f t="shared" si="17"/>
        <v>16000000</v>
      </c>
      <c r="L26" s="13">
        <f>SUM(H26-K26)</f>
        <v>0</v>
      </c>
      <c r="M26" s="13"/>
      <c r="N26" s="13"/>
      <c r="O26" s="13"/>
      <c r="P26" s="13"/>
      <c r="Q26" s="63">
        <f t="shared" si="18"/>
        <v>0</v>
      </c>
      <c r="R26" s="63">
        <f t="shared" si="19"/>
        <v>0</v>
      </c>
      <c r="S26" s="63"/>
      <c r="T26" s="63"/>
      <c r="U26" s="63"/>
      <c r="V26" s="63"/>
      <c r="W26" s="63">
        <f>SUM(U26-V26)</f>
        <v>0</v>
      </c>
      <c r="X26" s="63">
        <f t="shared" si="20"/>
        <v>16000000</v>
      </c>
      <c r="Y26" s="63">
        <f>SUM(K26+Q26+W26)</f>
        <v>16000000</v>
      </c>
      <c r="Z26" s="63"/>
      <c r="AA26" s="63"/>
      <c r="AB26" s="50">
        <f>SUM(X26-Y26)</f>
        <v>0</v>
      </c>
      <c r="AC26" s="14"/>
      <c r="AD26" s="13"/>
    </row>
    <row r="27" spans="1:33" ht="24" customHeight="1">
      <c r="A27" s="107">
        <v>2562</v>
      </c>
      <c r="B27" s="8" t="s">
        <v>64</v>
      </c>
      <c r="C27" s="16"/>
      <c r="D27" s="17">
        <f>SUM(D28:D31)</f>
        <v>15189000</v>
      </c>
      <c r="E27" s="17"/>
      <c r="F27" s="17"/>
      <c r="G27" s="17"/>
      <c r="H27" s="17">
        <f>SUM(H28:H31)</f>
        <v>0</v>
      </c>
      <c r="I27" s="17">
        <f>SUM(I28:I31)</f>
        <v>0</v>
      </c>
      <c r="J27" s="17">
        <f t="shared" ref="J27:L27" si="21">SUM(J28:J31)</f>
        <v>0</v>
      </c>
      <c r="K27" s="17">
        <f t="shared" si="21"/>
        <v>0</v>
      </c>
      <c r="L27" s="17">
        <f t="shared" si="21"/>
        <v>0</v>
      </c>
      <c r="M27" s="17">
        <f t="shared" ref="M27:AA27" si="22">SUM(M28:M31)</f>
        <v>10127637</v>
      </c>
      <c r="N27" s="17">
        <f t="shared" si="22"/>
        <v>0</v>
      </c>
      <c r="O27" s="17">
        <f t="shared" si="22"/>
        <v>5211738</v>
      </c>
      <c r="P27" s="17">
        <f t="shared" si="22"/>
        <v>0</v>
      </c>
      <c r="Q27" s="17">
        <f t="shared" si="22"/>
        <v>5211738</v>
      </c>
      <c r="R27" s="17">
        <f t="shared" si="22"/>
        <v>4915899</v>
      </c>
      <c r="S27" s="17">
        <f t="shared" si="22"/>
        <v>3753140</v>
      </c>
      <c r="T27" s="17">
        <f t="shared" si="22"/>
        <v>0</v>
      </c>
      <c r="U27" s="17">
        <f t="shared" si="22"/>
        <v>2907849</v>
      </c>
      <c r="V27" s="17">
        <f t="shared" si="22"/>
        <v>0</v>
      </c>
      <c r="W27" s="17">
        <f t="shared" si="22"/>
        <v>2907849</v>
      </c>
      <c r="X27" s="17">
        <f t="shared" si="22"/>
        <v>13880777</v>
      </c>
      <c r="Y27" s="17">
        <f t="shared" si="22"/>
        <v>8119587</v>
      </c>
      <c r="Z27" s="17">
        <f t="shared" si="22"/>
        <v>0</v>
      </c>
      <c r="AA27" s="17">
        <f t="shared" si="22"/>
        <v>0</v>
      </c>
      <c r="AB27" s="17">
        <f>SUM(AB28:AB31)</f>
        <v>5761190</v>
      </c>
      <c r="AC27" s="17"/>
      <c r="AD27" s="59">
        <f>+D27-H27-M27</f>
        <v>5061363</v>
      </c>
    </row>
    <row r="28" spans="1:33" ht="24" customHeight="1" outlineLevel="1">
      <c r="A28" s="108"/>
      <c r="B28" s="19" t="s">
        <v>74</v>
      </c>
      <c r="C28" s="12"/>
      <c r="D28" s="13">
        <v>7689000</v>
      </c>
      <c r="E28" s="12"/>
      <c r="F28" s="12"/>
      <c r="G28" s="12"/>
      <c r="H28" s="13"/>
      <c r="I28" s="13"/>
      <c r="J28" s="13"/>
      <c r="K28" s="13">
        <f t="shared" si="17"/>
        <v>0</v>
      </c>
      <c r="L28" s="13">
        <f>SUM(H28-K28)</f>
        <v>0</v>
      </c>
      <c r="M28" s="13">
        <f>210000+1242000+54000+1083000+1926000+1092000</f>
        <v>5607000</v>
      </c>
      <c r="N28" s="13"/>
      <c r="O28" s="13">
        <v>4389000</v>
      </c>
      <c r="P28" s="13"/>
      <c r="Q28" s="63">
        <f t="shared" ref="Q28:Q38" si="23">SUM(O28-P28)</f>
        <v>4389000</v>
      </c>
      <c r="R28" s="63">
        <f t="shared" si="19"/>
        <v>1218000</v>
      </c>
      <c r="S28" s="63">
        <v>3609000</v>
      </c>
      <c r="T28" s="63"/>
      <c r="U28" s="63">
        <f>738000+207000+105000+42000+207000+18000</f>
        <v>1317000</v>
      </c>
      <c r="V28" s="63"/>
      <c r="W28" s="63">
        <f>SUM(U28-V28)</f>
        <v>1317000</v>
      </c>
      <c r="X28" s="63">
        <f t="shared" ref="X28:X29" si="24">+H28+M28+S28-N28-T28</f>
        <v>9216000</v>
      </c>
      <c r="Y28" s="63">
        <f>SUM(K28+Q28+W28)</f>
        <v>5706000</v>
      </c>
      <c r="Z28" s="63"/>
      <c r="AA28" s="63"/>
      <c r="AB28" s="50">
        <f>SUM(X28-Y28)</f>
        <v>3510000</v>
      </c>
      <c r="AC28" s="14"/>
      <c r="AD28" s="13"/>
      <c r="AF28" s="33"/>
    </row>
    <row r="29" spans="1:33" ht="24" customHeight="1" outlineLevel="1">
      <c r="A29" s="108"/>
      <c r="B29" s="19" t="s">
        <v>73</v>
      </c>
      <c r="C29" s="12"/>
      <c r="D29" s="13">
        <f>6000000-D31</f>
        <v>5600062</v>
      </c>
      <c r="E29" s="12"/>
      <c r="F29" s="12"/>
      <c r="G29" s="12"/>
      <c r="H29" s="13"/>
      <c r="I29" s="13"/>
      <c r="J29" s="13"/>
      <c r="K29" s="13">
        <f t="shared" si="17"/>
        <v>0</v>
      </c>
      <c r="L29" s="13">
        <f>SUM(H29-K29)</f>
        <v>0</v>
      </c>
      <c r="M29" s="13">
        <f>3768050+352649</f>
        <v>4120699</v>
      </c>
      <c r="N29" s="13"/>
      <c r="O29" s="13">
        <v>422800</v>
      </c>
      <c r="P29" s="13"/>
      <c r="Q29" s="63">
        <f t="shared" si="23"/>
        <v>422800</v>
      </c>
      <c r="R29" s="63">
        <f t="shared" si="19"/>
        <v>3697899</v>
      </c>
      <c r="S29" s="63">
        <v>144140</v>
      </c>
      <c r="T29" s="63"/>
      <c r="U29" s="63">
        <f>302000+362400+453000+473449</f>
        <v>1590849</v>
      </c>
      <c r="V29" s="63"/>
      <c r="W29" s="63">
        <f>SUM(U29-V29)</f>
        <v>1590849</v>
      </c>
      <c r="X29" s="63">
        <f t="shared" si="24"/>
        <v>4264839</v>
      </c>
      <c r="Y29" s="63">
        <f>SUM(K29+Q29+W29)</f>
        <v>2013649</v>
      </c>
      <c r="Z29" s="63"/>
      <c r="AA29" s="63"/>
      <c r="AB29" s="50">
        <f>SUM(X29-Y29)</f>
        <v>2251190</v>
      </c>
      <c r="AC29" s="14"/>
      <c r="AD29" s="13"/>
      <c r="AF29" s="33"/>
    </row>
    <row r="30" spans="1:33" ht="24" customHeight="1" outlineLevel="1">
      <c r="A30" s="108"/>
      <c r="B30" s="11" t="s">
        <v>25</v>
      </c>
      <c r="C30" s="12"/>
      <c r="D30" s="13">
        <f>1500000</f>
        <v>1500000</v>
      </c>
      <c r="E30" s="12"/>
      <c r="F30" s="12"/>
      <c r="G30" s="12"/>
      <c r="H30" s="13"/>
      <c r="I30" s="13"/>
      <c r="J30" s="13"/>
      <c r="K30" s="13">
        <f t="shared" si="17"/>
        <v>0</v>
      </c>
      <c r="L30" s="13">
        <f>SUM(H30-K30)</f>
        <v>0</v>
      </c>
      <c r="M30" s="13">
        <v>0</v>
      </c>
      <c r="N30" s="13"/>
      <c r="O30" s="13"/>
      <c r="P30" s="13"/>
      <c r="Q30" s="63">
        <f t="shared" si="23"/>
        <v>0</v>
      </c>
      <c r="R30" s="63">
        <f t="shared" si="19"/>
        <v>0</v>
      </c>
      <c r="S30" s="63"/>
      <c r="T30" s="63"/>
      <c r="U30" s="63"/>
      <c r="V30" s="63"/>
      <c r="W30" s="63">
        <f>SUM(U30-V30)</f>
        <v>0</v>
      </c>
      <c r="X30" s="63">
        <f>SUM(H30+M30-N30)</f>
        <v>0</v>
      </c>
      <c r="Y30" s="63">
        <f>SUM(K30+Q30)</f>
        <v>0</v>
      </c>
      <c r="Z30" s="63"/>
      <c r="AA30" s="63"/>
      <c r="AB30" s="50">
        <f>SUM(X30-Y30)</f>
        <v>0</v>
      </c>
      <c r="AC30" s="14"/>
      <c r="AD30" s="13"/>
    </row>
    <row r="31" spans="1:33" ht="24" customHeight="1" outlineLevel="1">
      <c r="A31" s="108"/>
      <c r="B31" s="11" t="s">
        <v>26</v>
      </c>
      <c r="C31" s="12"/>
      <c r="D31" s="13">
        <f>99938+150000+150000</f>
        <v>399938</v>
      </c>
      <c r="E31" s="12"/>
      <c r="F31" s="12"/>
      <c r="G31" s="12"/>
      <c r="H31" s="13"/>
      <c r="I31" s="13"/>
      <c r="J31" s="13"/>
      <c r="K31" s="13">
        <f t="shared" si="17"/>
        <v>0</v>
      </c>
      <c r="L31" s="13">
        <f>SUM(H31-K31)</f>
        <v>0</v>
      </c>
      <c r="M31" s="13">
        <f>99938+150000+150000</f>
        <v>399938</v>
      </c>
      <c r="N31" s="13"/>
      <c r="O31" s="13">
        <v>399938</v>
      </c>
      <c r="P31" s="13"/>
      <c r="Q31" s="63">
        <f t="shared" si="23"/>
        <v>399938</v>
      </c>
      <c r="R31" s="63">
        <f t="shared" si="19"/>
        <v>0</v>
      </c>
      <c r="S31" s="63"/>
      <c r="T31" s="63"/>
      <c r="U31" s="63"/>
      <c r="V31" s="63"/>
      <c r="W31" s="63">
        <f>SUM(U31-V31)</f>
        <v>0</v>
      </c>
      <c r="X31" s="63">
        <f t="shared" ref="X31:X38" si="25">+H31+M31+S31-N31-T31</f>
        <v>399938</v>
      </c>
      <c r="Y31" s="63">
        <f>SUM(K31+Q31+W31)</f>
        <v>399938</v>
      </c>
      <c r="Z31" s="63"/>
      <c r="AA31" s="63"/>
      <c r="AB31" s="50">
        <f>SUM(X31-Y31)</f>
        <v>0</v>
      </c>
      <c r="AC31" s="14"/>
      <c r="AD31" s="13"/>
    </row>
    <row r="32" spans="1:33" s="6" customFormat="1" outlineLevel="1">
      <c r="A32" s="108"/>
      <c r="B32" s="52" t="s">
        <v>65</v>
      </c>
      <c r="C32" s="16">
        <v>927</v>
      </c>
      <c r="D32" s="17">
        <f>SUM(D33:D38)</f>
        <v>148498672</v>
      </c>
      <c r="E32" s="58">
        <f>583+344</f>
        <v>927</v>
      </c>
      <c r="F32" s="58">
        <v>0</v>
      </c>
      <c r="G32" s="58">
        <f>+E32-F32</f>
        <v>927</v>
      </c>
      <c r="H32" s="17">
        <f t="shared" ref="H32:AA32" si="26">SUM(H33:H38)</f>
        <v>0</v>
      </c>
      <c r="I32" s="17">
        <f t="shared" si="26"/>
        <v>0</v>
      </c>
      <c r="J32" s="17">
        <f t="shared" si="26"/>
        <v>0</v>
      </c>
      <c r="K32" s="17">
        <f t="shared" si="26"/>
        <v>0</v>
      </c>
      <c r="L32" s="17">
        <f t="shared" si="26"/>
        <v>0</v>
      </c>
      <c r="M32" s="17">
        <f t="shared" si="26"/>
        <v>145284360</v>
      </c>
      <c r="N32" s="17">
        <f t="shared" si="26"/>
        <v>0</v>
      </c>
      <c r="O32" s="17">
        <f t="shared" si="26"/>
        <v>0</v>
      </c>
      <c r="P32" s="17">
        <f t="shared" si="26"/>
        <v>0</v>
      </c>
      <c r="Q32" s="17">
        <f>SUM(Q33:Q38)</f>
        <v>0</v>
      </c>
      <c r="R32" s="17">
        <f t="shared" si="26"/>
        <v>145284360</v>
      </c>
      <c r="S32" s="17">
        <f t="shared" si="26"/>
        <v>0</v>
      </c>
      <c r="T32" s="17">
        <f t="shared" si="26"/>
        <v>0</v>
      </c>
      <c r="U32" s="17">
        <f t="shared" si="26"/>
        <v>62530750</v>
      </c>
      <c r="V32" s="17">
        <f t="shared" si="26"/>
        <v>0</v>
      </c>
      <c r="W32" s="17">
        <f t="shared" si="26"/>
        <v>62530750</v>
      </c>
      <c r="X32" s="17">
        <f t="shared" si="26"/>
        <v>145284360</v>
      </c>
      <c r="Y32" s="17">
        <f t="shared" si="26"/>
        <v>62530750</v>
      </c>
      <c r="Z32" s="17">
        <f t="shared" si="26"/>
        <v>0</v>
      </c>
      <c r="AA32" s="17">
        <f t="shared" si="26"/>
        <v>62530750</v>
      </c>
      <c r="AB32" s="17">
        <f>SUM(AB33:AB38)</f>
        <v>82753610</v>
      </c>
      <c r="AC32" s="17"/>
      <c r="AD32" s="59">
        <f>+D32-H32-M32</f>
        <v>3214312</v>
      </c>
      <c r="AG32" s="49"/>
    </row>
    <row r="33" spans="1:33" ht="24" customHeight="1" outlineLevel="1">
      <c r="A33" s="108"/>
      <c r="B33" s="19" t="s">
        <v>69</v>
      </c>
      <c r="C33" s="12"/>
      <c r="D33" s="13">
        <v>46350000</v>
      </c>
      <c r="E33" s="12"/>
      <c r="F33" s="12"/>
      <c r="G33" s="12"/>
      <c r="H33" s="13"/>
      <c r="I33" s="13"/>
      <c r="J33" s="13"/>
      <c r="K33" s="13">
        <f t="shared" si="17"/>
        <v>0</v>
      </c>
      <c r="L33" s="13">
        <f t="shared" ref="L33:L38" si="27">SUM(H33-K33)</f>
        <v>0</v>
      </c>
      <c r="M33" s="13">
        <f>29150000+17200000</f>
        <v>46350000</v>
      </c>
      <c r="N33" s="13">
        <v>0</v>
      </c>
      <c r="O33" s="13"/>
      <c r="P33" s="13"/>
      <c r="Q33" s="63">
        <f t="shared" si="23"/>
        <v>0</v>
      </c>
      <c r="R33" s="63">
        <f t="shared" si="19"/>
        <v>46350000</v>
      </c>
      <c r="S33" s="63"/>
      <c r="T33" s="63"/>
      <c r="U33" s="63">
        <f>8080000+1770000+9681000</f>
        <v>19531000</v>
      </c>
      <c r="V33" s="63"/>
      <c r="W33" s="63">
        <f t="shared" ref="W33:W38" si="28">SUM(U33-V33)</f>
        <v>19531000</v>
      </c>
      <c r="X33" s="63">
        <f t="shared" si="25"/>
        <v>46350000</v>
      </c>
      <c r="Y33" s="63">
        <f t="shared" ref="Y33:Y38" si="29">SUM(K33+Q33+W33)</f>
        <v>19531000</v>
      </c>
      <c r="Z33" s="63"/>
      <c r="AA33" s="63">
        <f t="shared" ref="AA33:AA38" si="30">SUM(Y33-Z33)</f>
        <v>19531000</v>
      </c>
      <c r="AB33" s="50">
        <f t="shared" ref="AB33:AB38" si="31">X33-Y33</f>
        <v>26819000</v>
      </c>
      <c r="AC33" s="14"/>
      <c r="AD33" s="13"/>
    </row>
    <row r="34" spans="1:33" ht="24" customHeight="1" outlineLevel="1">
      <c r="A34" s="108"/>
      <c r="B34" s="19" t="s">
        <v>71</v>
      </c>
      <c r="C34" s="12"/>
      <c r="D34" s="13">
        <v>23175000</v>
      </c>
      <c r="E34" s="12"/>
      <c r="F34" s="12"/>
      <c r="G34" s="12"/>
      <c r="H34" s="13"/>
      <c r="I34" s="13"/>
      <c r="J34" s="13"/>
      <c r="K34" s="13">
        <f t="shared" si="17"/>
        <v>0</v>
      </c>
      <c r="L34" s="13">
        <f t="shared" si="27"/>
        <v>0</v>
      </c>
      <c r="M34" s="13">
        <f>14575000+8600000</f>
        <v>23175000</v>
      </c>
      <c r="N34" s="13">
        <v>0</v>
      </c>
      <c r="O34" s="13"/>
      <c r="P34" s="13"/>
      <c r="Q34" s="63">
        <f t="shared" si="23"/>
        <v>0</v>
      </c>
      <c r="R34" s="63">
        <f t="shared" si="19"/>
        <v>23175000</v>
      </c>
      <c r="S34" s="63"/>
      <c r="T34" s="63"/>
      <c r="U34" s="63">
        <f>3250000+1675000+5250000</f>
        <v>10175000</v>
      </c>
      <c r="V34" s="63"/>
      <c r="W34" s="63">
        <f t="shared" si="28"/>
        <v>10175000</v>
      </c>
      <c r="X34" s="63">
        <f t="shared" si="25"/>
        <v>23175000</v>
      </c>
      <c r="Y34" s="63">
        <f t="shared" si="29"/>
        <v>10175000</v>
      </c>
      <c r="Z34" s="63"/>
      <c r="AA34" s="63">
        <f t="shared" si="30"/>
        <v>10175000</v>
      </c>
      <c r="AB34" s="50">
        <f t="shared" si="31"/>
        <v>13000000</v>
      </c>
      <c r="AC34" s="14"/>
      <c r="AD34" s="13"/>
    </row>
    <row r="35" spans="1:33" ht="24" customHeight="1" outlineLevel="1">
      <c r="A35" s="108"/>
      <c r="B35" s="19" t="s">
        <v>70</v>
      </c>
      <c r="C35" s="12"/>
      <c r="D35" s="13">
        <v>66744000</v>
      </c>
      <c r="E35" s="12"/>
      <c r="F35" s="12"/>
      <c r="G35" s="12"/>
      <c r="H35" s="13"/>
      <c r="I35" s="13"/>
      <c r="J35" s="13"/>
      <c r="K35" s="13">
        <f t="shared" si="17"/>
        <v>0</v>
      </c>
      <c r="L35" s="13">
        <f t="shared" si="27"/>
        <v>0</v>
      </c>
      <c r="M35" s="13">
        <f>41976000+24768000</f>
        <v>66744000</v>
      </c>
      <c r="N35" s="13">
        <v>0</v>
      </c>
      <c r="O35" s="13"/>
      <c r="P35" s="13"/>
      <c r="Q35" s="63">
        <f t="shared" si="23"/>
        <v>0</v>
      </c>
      <c r="R35" s="63">
        <f t="shared" si="19"/>
        <v>66744000</v>
      </c>
      <c r="S35" s="63"/>
      <c r="T35" s="63"/>
      <c r="U35" s="63">
        <f>9360000+4824000+15120000</f>
        <v>29304000</v>
      </c>
      <c r="V35" s="63"/>
      <c r="W35" s="63">
        <f t="shared" si="28"/>
        <v>29304000</v>
      </c>
      <c r="X35" s="63">
        <f t="shared" si="25"/>
        <v>66744000</v>
      </c>
      <c r="Y35" s="63">
        <f t="shared" si="29"/>
        <v>29304000</v>
      </c>
      <c r="Z35" s="63"/>
      <c r="AA35" s="63">
        <f t="shared" si="30"/>
        <v>29304000</v>
      </c>
      <c r="AB35" s="50">
        <f t="shared" si="31"/>
        <v>37440000</v>
      </c>
      <c r="AC35" s="14"/>
      <c r="AD35" s="13"/>
    </row>
    <row r="36" spans="1:33" ht="24" customHeight="1" outlineLevel="1">
      <c r="A36" s="108"/>
      <c r="B36" s="11" t="s">
        <v>72</v>
      </c>
      <c r="C36" s="12"/>
      <c r="D36" s="13">
        <v>2082500</v>
      </c>
      <c r="E36" s="12"/>
      <c r="F36" s="12"/>
      <c r="G36" s="12"/>
      <c r="H36" s="13"/>
      <c r="I36" s="13"/>
      <c r="J36" s="13"/>
      <c r="K36" s="13">
        <f t="shared" si="17"/>
        <v>0</v>
      </c>
      <c r="L36" s="13">
        <f t="shared" si="27"/>
        <v>0</v>
      </c>
      <c r="M36" s="13">
        <f>617500+617500+423750+423750</f>
        <v>2082500</v>
      </c>
      <c r="N36" s="13">
        <v>0</v>
      </c>
      <c r="O36" s="13"/>
      <c r="P36" s="13"/>
      <c r="Q36" s="63">
        <f t="shared" si="23"/>
        <v>0</v>
      </c>
      <c r="R36" s="63">
        <f t="shared" si="19"/>
        <v>2082500</v>
      </c>
      <c r="S36" s="63"/>
      <c r="T36" s="63"/>
      <c r="U36" s="63">
        <f>147000+99250+165000</f>
        <v>411250</v>
      </c>
      <c r="V36" s="63"/>
      <c r="W36" s="63">
        <f t="shared" si="28"/>
        <v>411250</v>
      </c>
      <c r="X36" s="63">
        <f t="shared" si="25"/>
        <v>2082500</v>
      </c>
      <c r="Y36" s="63">
        <f t="shared" si="29"/>
        <v>411250</v>
      </c>
      <c r="Z36" s="63"/>
      <c r="AA36" s="63">
        <f t="shared" si="30"/>
        <v>411250</v>
      </c>
      <c r="AB36" s="50">
        <f t="shared" si="31"/>
        <v>1671250</v>
      </c>
      <c r="AC36" s="14"/>
      <c r="AD36" s="13"/>
    </row>
    <row r="37" spans="1:33" ht="24" customHeight="1" outlineLevel="1">
      <c r="A37" s="108"/>
      <c r="B37" s="11" t="s">
        <v>67</v>
      </c>
      <c r="C37" s="12"/>
      <c r="D37" s="13">
        <v>3214312</v>
      </c>
      <c r="E37" s="12"/>
      <c r="F37" s="12"/>
      <c r="G37" s="12"/>
      <c r="H37" s="13"/>
      <c r="I37" s="13"/>
      <c r="J37" s="13"/>
      <c r="K37" s="13">
        <f t="shared" si="17"/>
        <v>0</v>
      </c>
      <c r="L37" s="13">
        <f t="shared" si="27"/>
        <v>0</v>
      </c>
      <c r="M37" s="13">
        <v>0</v>
      </c>
      <c r="N37" s="13">
        <v>0</v>
      </c>
      <c r="O37" s="13"/>
      <c r="P37" s="13"/>
      <c r="Q37" s="63">
        <f t="shared" si="23"/>
        <v>0</v>
      </c>
      <c r="R37" s="63">
        <f t="shared" si="19"/>
        <v>0</v>
      </c>
      <c r="S37" s="63"/>
      <c r="T37" s="63"/>
      <c r="U37" s="63"/>
      <c r="V37" s="63"/>
      <c r="W37" s="63">
        <f t="shared" si="28"/>
        <v>0</v>
      </c>
      <c r="X37" s="63">
        <f t="shared" si="25"/>
        <v>0</v>
      </c>
      <c r="Y37" s="63">
        <f t="shared" si="29"/>
        <v>0</v>
      </c>
      <c r="Z37" s="63"/>
      <c r="AA37" s="63">
        <f t="shared" si="30"/>
        <v>0</v>
      </c>
      <c r="AB37" s="50">
        <f t="shared" si="31"/>
        <v>0</v>
      </c>
      <c r="AC37" s="14"/>
      <c r="AD37" s="13"/>
      <c r="AE37" s="33"/>
    </row>
    <row r="38" spans="1:33" ht="24" customHeight="1" outlineLevel="1">
      <c r="A38" s="108"/>
      <c r="B38" s="11" t="s">
        <v>68</v>
      </c>
      <c r="C38" s="12"/>
      <c r="D38" s="13">
        <v>6932860</v>
      </c>
      <c r="E38" s="13"/>
      <c r="F38" s="13"/>
      <c r="G38" s="13"/>
      <c r="H38" s="13"/>
      <c r="I38" s="13"/>
      <c r="J38" s="13"/>
      <c r="K38" s="13">
        <f t="shared" si="17"/>
        <v>0</v>
      </c>
      <c r="L38" s="13">
        <f t="shared" si="27"/>
        <v>0</v>
      </c>
      <c r="M38" s="13">
        <f>4295300+2637560</f>
        <v>6932860</v>
      </c>
      <c r="N38" s="13">
        <v>0</v>
      </c>
      <c r="O38" s="13"/>
      <c r="P38" s="13"/>
      <c r="Q38" s="63">
        <f t="shared" si="23"/>
        <v>0</v>
      </c>
      <c r="R38" s="63">
        <f t="shared" si="19"/>
        <v>6932860</v>
      </c>
      <c r="S38" s="63"/>
      <c r="T38" s="63"/>
      <c r="U38" s="63">
        <f>1461500+1648000</f>
        <v>3109500</v>
      </c>
      <c r="V38" s="63"/>
      <c r="W38" s="63">
        <f t="shared" si="28"/>
        <v>3109500</v>
      </c>
      <c r="X38" s="63">
        <f t="shared" si="25"/>
        <v>6932860</v>
      </c>
      <c r="Y38" s="63">
        <f t="shared" si="29"/>
        <v>3109500</v>
      </c>
      <c r="Z38" s="63"/>
      <c r="AA38" s="63">
        <f t="shared" si="30"/>
        <v>3109500</v>
      </c>
      <c r="AB38" s="50">
        <f t="shared" si="31"/>
        <v>3823360</v>
      </c>
      <c r="AC38" s="13"/>
      <c r="AD38" s="13"/>
      <c r="AE38" s="33"/>
    </row>
    <row r="39" spans="1:33" ht="24" hidden="1" customHeight="1" outlineLevel="1">
      <c r="A39" s="108"/>
      <c r="B39" s="53" t="s">
        <v>63</v>
      </c>
      <c r="C39" s="54"/>
      <c r="D39" s="55">
        <f>9492000-D40</f>
        <v>9242062</v>
      </c>
      <c r="E39" s="54"/>
      <c r="F39" s="54"/>
      <c r="G39" s="54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13">
        <f>SUM(M39-O39)</f>
        <v>0</v>
      </c>
      <c r="AC39" s="57"/>
      <c r="AD39" s="56"/>
    </row>
    <row r="40" spans="1:33" ht="24" hidden="1" customHeight="1" outlineLevel="1">
      <c r="A40" s="108"/>
      <c r="B40" s="53" t="s">
        <v>26</v>
      </c>
      <c r="C40" s="54"/>
      <c r="D40" s="56">
        <v>249938</v>
      </c>
      <c r="E40" s="54"/>
      <c r="F40" s="54"/>
      <c r="G40" s="54"/>
      <c r="H40" s="56">
        <f>99938+150000</f>
        <v>249938</v>
      </c>
      <c r="I40" s="56">
        <f>99938+150000</f>
        <v>249938</v>
      </c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13">
        <f>SUM(M40-O40)</f>
        <v>0</v>
      </c>
      <c r="AC40" s="57"/>
      <c r="AD40" s="56"/>
      <c r="AE40" s="33"/>
    </row>
    <row r="41" spans="1:33" ht="26.4">
      <c r="A41" s="109"/>
      <c r="B41" s="30" t="s">
        <v>8</v>
      </c>
      <c r="C41" s="31">
        <f>SUM(C21+C32)</f>
        <v>2521</v>
      </c>
      <c r="D41" s="32">
        <f t="shared" ref="D41:Y41" si="32">SUM(D21+D27+D32)</f>
        <v>199680000</v>
      </c>
      <c r="E41" s="31">
        <f t="shared" si="32"/>
        <v>927</v>
      </c>
      <c r="F41" s="31">
        <f t="shared" si="32"/>
        <v>0</v>
      </c>
      <c r="G41" s="31">
        <f t="shared" si="32"/>
        <v>927</v>
      </c>
      <c r="H41" s="32">
        <f t="shared" si="32"/>
        <v>35782328</v>
      </c>
      <c r="I41" s="32">
        <f t="shared" si="32"/>
        <v>31339608</v>
      </c>
      <c r="J41" s="32">
        <f t="shared" si="32"/>
        <v>0</v>
      </c>
      <c r="K41" s="32">
        <f t="shared" si="32"/>
        <v>31339608</v>
      </c>
      <c r="L41" s="32">
        <f>SUM(L21+L27+L32)+J41</f>
        <v>4442720</v>
      </c>
      <c r="M41" s="32">
        <f t="shared" si="32"/>
        <v>155411997</v>
      </c>
      <c r="N41" s="32">
        <f>SUM(N21+N27+N32)</f>
        <v>0</v>
      </c>
      <c r="O41" s="32">
        <f t="shared" si="32"/>
        <v>7746678</v>
      </c>
      <c r="P41" s="32">
        <f t="shared" si="32"/>
        <v>0</v>
      </c>
      <c r="Q41" s="32">
        <f t="shared" si="32"/>
        <v>7746678</v>
      </c>
      <c r="R41" s="32">
        <f t="shared" si="32"/>
        <v>152108039</v>
      </c>
      <c r="S41" s="32">
        <f t="shared" si="32"/>
        <v>3753140</v>
      </c>
      <c r="T41" s="32">
        <f t="shared" si="32"/>
        <v>0</v>
      </c>
      <c r="U41" s="32">
        <f t="shared" si="32"/>
        <v>65438599</v>
      </c>
      <c r="V41" s="32">
        <f t="shared" si="32"/>
        <v>0</v>
      </c>
      <c r="W41" s="32">
        <f t="shared" si="32"/>
        <v>65438599</v>
      </c>
      <c r="X41" s="32">
        <f t="shared" si="32"/>
        <v>194947465</v>
      </c>
      <c r="Y41" s="32">
        <f t="shared" si="32"/>
        <v>104524885</v>
      </c>
      <c r="Z41" s="32">
        <f>SUM(J41+P41+V41)</f>
        <v>0</v>
      </c>
      <c r="AA41" s="32">
        <f>Y41-Z41</f>
        <v>104524885</v>
      </c>
      <c r="AB41" s="32">
        <f>SUM(AB21+AB27+AB32)+Z41</f>
        <v>90422580</v>
      </c>
      <c r="AC41" s="51">
        <f>+Y41*100/H41</f>
        <v>292.11314870290158</v>
      </c>
      <c r="AD41" s="32">
        <f>+D41-X41</f>
        <v>4732535</v>
      </c>
    </row>
    <row r="42" spans="1:33">
      <c r="A42" s="117">
        <v>2563</v>
      </c>
      <c r="B42" s="52" t="s">
        <v>95</v>
      </c>
      <c r="C42" s="70">
        <v>3115</v>
      </c>
      <c r="D42" s="71">
        <f>SUM(D43:D49)</f>
        <v>548240000</v>
      </c>
      <c r="E42" s="59">
        <v>0</v>
      </c>
      <c r="F42" s="59">
        <v>0</v>
      </c>
      <c r="G42" s="59">
        <f>+E42-F42</f>
        <v>0</v>
      </c>
      <c r="H42" s="71">
        <f>SUM(H43:H49)</f>
        <v>0</v>
      </c>
      <c r="I42" s="17">
        <f>SUM(I43:I49)</f>
        <v>0</v>
      </c>
      <c r="J42" s="71"/>
      <c r="K42" s="71"/>
      <c r="L42" s="17">
        <f>SUM(L43:L49)</f>
        <v>0</v>
      </c>
      <c r="M42" s="17">
        <f t="shared" ref="M42:O42" si="33">SUM(M43:M49)</f>
        <v>0</v>
      </c>
      <c r="N42" s="17">
        <f t="shared" si="33"/>
        <v>0</v>
      </c>
      <c r="O42" s="17">
        <f t="shared" si="33"/>
        <v>0</v>
      </c>
      <c r="P42" s="17">
        <f t="shared" ref="P42" si="34">SUM(P43:P49)</f>
        <v>0</v>
      </c>
      <c r="Q42" s="17">
        <f>SUM(Q43:Q49)</f>
        <v>0</v>
      </c>
      <c r="R42" s="17">
        <f t="shared" ref="R42" si="35">SUM(R43:R49)</f>
        <v>0</v>
      </c>
      <c r="S42" s="17">
        <f t="shared" ref="S42" si="36">SUM(S43:S49)</f>
        <v>0</v>
      </c>
      <c r="T42" s="17">
        <f t="shared" ref="T42" si="37">SUM(T43:T49)</f>
        <v>0</v>
      </c>
      <c r="U42" s="17">
        <f t="shared" ref="U42" si="38">SUM(U43:U49)</f>
        <v>0</v>
      </c>
      <c r="V42" s="17">
        <f t="shared" ref="V42" si="39">SUM(V43:V49)</f>
        <v>0</v>
      </c>
      <c r="W42" s="17">
        <f t="shared" ref="W42" si="40">SUM(W43:W49)</f>
        <v>0</v>
      </c>
      <c r="X42" s="17">
        <f t="shared" ref="X42" si="41">SUM(X43:X49)</f>
        <v>0</v>
      </c>
      <c r="Y42" s="17">
        <f t="shared" ref="Y42" si="42">SUM(Y43:Y49)</f>
        <v>0</v>
      </c>
      <c r="Z42" s="17">
        <f t="shared" ref="Z42" si="43">SUM(Z43:Z49)</f>
        <v>0</v>
      </c>
      <c r="AA42" s="17">
        <f t="shared" ref="AA42" si="44">SUM(AA43:AA49)</f>
        <v>0</v>
      </c>
      <c r="AB42" s="17">
        <f t="shared" ref="AB42" si="45">SUM(AB43:AB49)</f>
        <v>0</v>
      </c>
      <c r="AC42" s="17">
        <f t="shared" ref="AC42" si="46">SUM(AC43:AC49)</f>
        <v>0</v>
      </c>
      <c r="AD42" s="17">
        <f t="shared" ref="AD42" si="47">SUM(AD43:AD49)</f>
        <v>0</v>
      </c>
      <c r="AG42" s="1"/>
    </row>
    <row r="43" spans="1:33" ht="26.4">
      <c r="A43" s="118"/>
      <c r="B43" s="19" t="s">
        <v>69</v>
      </c>
      <c r="C43" s="72"/>
      <c r="D43" s="73">
        <v>155750000</v>
      </c>
      <c r="E43" s="73"/>
      <c r="F43" s="73"/>
      <c r="G43" s="73"/>
      <c r="H43" s="73">
        <v>0</v>
      </c>
      <c r="I43" s="73">
        <v>0</v>
      </c>
      <c r="J43" s="73"/>
      <c r="K43" s="73"/>
      <c r="L43" s="13">
        <f t="shared" ref="L43:L49" si="48">SUM(H43-I43)</f>
        <v>0</v>
      </c>
      <c r="M43" s="73"/>
      <c r="N43" s="73"/>
      <c r="O43" s="73"/>
      <c r="P43" s="14"/>
      <c r="Q43" s="14"/>
      <c r="R43" s="13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G43" s="1"/>
    </row>
    <row r="44" spans="1:33" ht="26.4">
      <c r="A44" s="118"/>
      <c r="B44" s="19" t="s">
        <v>71</v>
      </c>
      <c r="C44" s="72"/>
      <c r="D44" s="73">
        <v>77875000</v>
      </c>
      <c r="E44" s="73"/>
      <c r="F44" s="73"/>
      <c r="G44" s="73"/>
      <c r="H44" s="73">
        <v>0</v>
      </c>
      <c r="I44" s="73">
        <v>0</v>
      </c>
      <c r="J44" s="73"/>
      <c r="K44" s="73"/>
      <c r="L44" s="13">
        <f t="shared" si="48"/>
        <v>0</v>
      </c>
      <c r="M44" s="73"/>
      <c r="N44" s="73"/>
      <c r="O44" s="73"/>
      <c r="P44" s="14"/>
      <c r="Q44" s="14"/>
      <c r="R44" s="13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G44" s="1"/>
    </row>
    <row r="45" spans="1:33" ht="26.4">
      <c r="A45" s="118"/>
      <c r="B45" s="19" t="s">
        <v>70</v>
      </c>
      <c r="C45" s="72"/>
      <c r="D45" s="73">
        <v>224280000</v>
      </c>
      <c r="E45" s="73"/>
      <c r="F45" s="73"/>
      <c r="G45" s="73"/>
      <c r="H45" s="73">
        <v>0</v>
      </c>
      <c r="I45" s="73">
        <v>0</v>
      </c>
      <c r="J45" s="73"/>
      <c r="K45" s="73"/>
      <c r="L45" s="13">
        <f t="shared" si="48"/>
        <v>0</v>
      </c>
      <c r="M45" s="73"/>
      <c r="N45" s="73"/>
      <c r="O45" s="73"/>
      <c r="P45" s="14"/>
      <c r="Q45" s="14"/>
      <c r="R45" s="13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G45" s="1"/>
    </row>
    <row r="46" spans="1:33" ht="26.4">
      <c r="A46" s="118"/>
      <c r="B46" s="11" t="s">
        <v>72</v>
      </c>
      <c r="C46" s="72"/>
      <c r="D46" s="73">
        <v>7787500</v>
      </c>
      <c r="E46" s="73"/>
      <c r="F46" s="73"/>
      <c r="G46" s="73"/>
      <c r="H46" s="73">
        <v>0</v>
      </c>
      <c r="I46" s="73">
        <v>0</v>
      </c>
      <c r="J46" s="73"/>
      <c r="K46" s="73"/>
      <c r="L46" s="13">
        <f t="shared" si="48"/>
        <v>0</v>
      </c>
      <c r="M46" s="73"/>
      <c r="N46" s="73"/>
      <c r="O46" s="73"/>
      <c r="P46" s="14"/>
      <c r="Q46" s="14"/>
      <c r="R46" s="13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G46" s="1"/>
    </row>
    <row r="47" spans="1:33" ht="26.4">
      <c r="A47" s="118"/>
      <c r="B47" s="11" t="s">
        <v>96</v>
      </c>
      <c r="C47" s="72"/>
      <c r="D47" s="73">
        <v>43610000</v>
      </c>
      <c r="E47" s="73"/>
      <c r="F47" s="73"/>
      <c r="G47" s="73"/>
      <c r="H47" s="73">
        <v>0</v>
      </c>
      <c r="I47" s="73">
        <v>0</v>
      </c>
      <c r="J47" s="73"/>
      <c r="K47" s="73"/>
      <c r="L47" s="13">
        <f t="shared" si="48"/>
        <v>0</v>
      </c>
      <c r="M47" s="73"/>
      <c r="N47" s="73"/>
      <c r="O47" s="73"/>
      <c r="P47" s="14"/>
      <c r="Q47" s="14"/>
      <c r="R47" s="13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G47" s="1"/>
    </row>
    <row r="48" spans="1:33" ht="26.4">
      <c r="A48" s="118"/>
      <c r="B48" s="11" t="s">
        <v>97</v>
      </c>
      <c r="C48" s="72"/>
      <c r="D48" s="73">
        <v>4233908</v>
      </c>
      <c r="E48" s="73"/>
      <c r="F48" s="73"/>
      <c r="G48" s="73"/>
      <c r="H48" s="73">
        <v>0</v>
      </c>
      <c r="I48" s="73">
        <v>0</v>
      </c>
      <c r="J48" s="73"/>
      <c r="K48" s="73"/>
      <c r="L48" s="13">
        <f t="shared" si="48"/>
        <v>0</v>
      </c>
      <c r="M48" s="73"/>
      <c r="N48" s="73"/>
      <c r="O48" s="73"/>
      <c r="P48" s="14"/>
      <c r="Q48" s="14"/>
      <c r="R48" s="13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G48" s="1"/>
    </row>
    <row r="49" spans="1:33" ht="26.4">
      <c r="A49" s="118"/>
      <c r="B49" s="11" t="s">
        <v>98</v>
      </c>
      <c r="C49" s="72"/>
      <c r="D49" s="73">
        <v>34703592</v>
      </c>
      <c r="E49" s="73"/>
      <c r="F49" s="73"/>
      <c r="G49" s="73"/>
      <c r="H49" s="73">
        <v>0</v>
      </c>
      <c r="I49" s="73">
        <v>0</v>
      </c>
      <c r="J49" s="73"/>
      <c r="K49" s="73"/>
      <c r="L49" s="13">
        <f t="shared" si="48"/>
        <v>0</v>
      </c>
      <c r="M49" s="73"/>
      <c r="N49" s="73"/>
      <c r="O49" s="73"/>
      <c r="P49" s="14"/>
      <c r="Q49" s="14"/>
      <c r="R49" s="13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G49" s="1"/>
    </row>
    <row r="50" spans="1:33" ht="26.4">
      <c r="A50" s="119"/>
      <c r="B50" s="74" t="s">
        <v>8</v>
      </c>
      <c r="C50" s="75">
        <f>SUM(C42)</f>
        <v>3115</v>
      </c>
      <c r="D50" s="76">
        <f t="shared" ref="D50:AD50" si="49">SUM(D42)</f>
        <v>548240000</v>
      </c>
      <c r="E50" s="76">
        <f t="shared" si="49"/>
        <v>0</v>
      </c>
      <c r="F50" s="76">
        <f t="shared" si="49"/>
        <v>0</v>
      </c>
      <c r="G50" s="76">
        <f t="shared" si="49"/>
        <v>0</v>
      </c>
      <c r="H50" s="76">
        <f t="shared" si="49"/>
        <v>0</v>
      </c>
      <c r="I50" s="76">
        <f t="shared" si="49"/>
        <v>0</v>
      </c>
      <c r="J50" s="76">
        <f t="shared" si="49"/>
        <v>0</v>
      </c>
      <c r="K50" s="76">
        <f>SUM(I50-J50)</f>
        <v>0</v>
      </c>
      <c r="L50" s="76">
        <f>SUM(L42)</f>
        <v>0</v>
      </c>
      <c r="M50" s="76">
        <f t="shared" si="49"/>
        <v>0</v>
      </c>
      <c r="N50" s="76">
        <f t="shared" si="49"/>
        <v>0</v>
      </c>
      <c r="O50" s="76">
        <f t="shared" si="49"/>
        <v>0</v>
      </c>
      <c r="P50" s="76">
        <f t="shared" si="49"/>
        <v>0</v>
      </c>
      <c r="Q50" s="76">
        <f t="shared" si="49"/>
        <v>0</v>
      </c>
      <c r="R50" s="76">
        <f t="shared" si="49"/>
        <v>0</v>
      </c>
      <c r="S50" s="76">
        <f t="shared" si="49"/>
        <v>0</v>
      </c>
      <c r="T50" s="76">
        <f t="shared" si="49"/>
        <v>0</v>
      </c>
      <c r="U50" s="76">
        <f t="shared" si="49"/>
        <v>0</v>
      </c>
      <c r="V50" s="76">
        <f t="shared" si="49"/>
        <v>0</v>
      </c>
      <c r="W50" s="76">
        <f t="shared" si="49"/>
        <v>0</v>
      </c>
      <c r="X50" s="76">
        <f t="shared" si="49"/>
        <v>0</v>
      </c>
      <c r="Y50" s="76">
        <f t="shared" si="49"/>
        <v>0</v>
      </c>
      <c r="Z50" s="76">
        <f t="shared" si="49"/>
        <v>0</v>
      </c>
      <c r="AA50" s="76">
        <f t="shared" si="49"/>
        <v>0</v>
      </c>
      <c r="AB50" s="76">
        <f t="shared" si="49"/>
        <v>0</v>
      </c>
      <c r="AC50" s="76">
        <f t="shared" si="49"/>
        <v>0</v>
      </c>
      <c r="AD50" s="76">
        <f t="shared" si="49"/>
        <v>0</v>
      </c>
      <c r="AG50" s="1"/>
    </row>
    <row r="51" spans="1:33" s="6" customFormat="1" ht="31.2" customHeight="1">
      <c r="A51" s="105" t="s">
        <v>22</v>
      </c>
      <c r="B51" s="106"/>
      <c r="C51" s="20">
        <f>+C13+C20+C41+C50</f>
        <v>14142</v>
      </c>
      <c r="D51" s="21">
        <f t="shared" ref="D51:AD51" si="50">+D13+D20+D41+D50</f>
        <v>1804080000</v>
      </c>
      <c r="E51" s="20">
        <f t="shared" si="50"/>
        <v>8967</v>
      </c>
      <c r="F51" s="20">
        <f t="shared" si="50"/>
        <v>3323</v>
      </c>
      <c r="G51" s="20">
        <f t="shared" si="50"/>
        <v>5644</v>
      </c>
      <c r="H51" s="21">
        <f t="shared" si="50"/>
        <v>859681906.96000004</v>
      </c>
      <c r="I51" s="21">
        <f t="shared" si="50"/>
        <v>662681757.96000004</v>
      </c>
      <c r="J51" s="21">
        <f t="shared" si="50"/>
        <v>25538331</v>
      </c>
      <c r="K51" s="21">
        <f t="shared" si="50"/>
        <v>662681757.96000004</v>
      </c>
      <c r="L51" s="21">
        <f t="shared" si="50"/>
        <v>221420280</v>
      </c>
      <c r="M51" s="21">
        <f>+M13+M20+M41+M50</f>
        <v>158848091</v>
      </c>
      <c r="N51" s="21">
        <f t="shared" si="50"/>
        <v>62499000</v>
      </c>
      <c r="O51" s="21">
        <f t="shared" si="50"/>
        <v>61969727</v>
      </c>
      <c r="P51" s="21">
        <f t="shared" si="50"/>
        <v>10763327</v>
      </c>
      <c r="Q51" s="21">
        <f t="shared" si="50"/>
        <v>61969727</v>
      </c>
      <c r="R51" s="21">
        <f t="shared" si="50"/>
        <v>266562971</v>
      </c>
      <c r="S51" s="21">
        <f t="shared" si="50"/>
        <v>6596140</v>
      </c>
      <c r="T51" s="21">
        <f t="shared" si="50"/>
        <v>0</v>
      </c>
      <c r="U51" s="21">
        <f t="shared" si="50"/>
        <v>68104599</v>
      </c>
      <c r="V51" s="21">
        <f t="shared" si="50"/>
        <v>267500</v>
      </c>
      <c r="W51" s="21">
        <f t="shared" si="50"/>
        <v>68104599</v>
      </c>
      <c r="X51" s="21">
        <f t="shared" si="50"/>
        <v>962627137.96000004</v>
      </c>
      <c r="Y51" s="21">
        <f t="shared" si="50"/>
        <v>792756083.96000004</v>
      </c>
      <c r="Z51" s="21">
        <f t="shared" si="50"/>
        <v>36569158</v>
      </c>
      <c r="AA51" s="21">
        <f t="shared" si="50"/>
        <v>756186925.96000004</v>
      </c>
      <c r="AB51" s="21">
        <f t="shared" si="50"/>
        <v>205322012</v>
      </c>
      <c r="AC51" s="21">
        <f t="shared" si="50"/>
        <v>472.19288430743694</v>
      </c>
      <c r="AD51" s="21">
        <f t="shared" si="50"/>
        <v>293212862.03999996</v>
      </c>
    </row>
    <row r="52" spans="1:33">
      <c r="A52" s="1" t="s">
        <v>27</v>
      </c>
      <c r="B52" s="35" t="s">
        <v>28</v>
      </c>
    </row>
    <row r="53" spans="1:33">
      <c r="B53" s="35" t="s">
        <v>86</v>
      </c>
      <c r="AE53" s="33"/>
    </row>
    <row r="54" spans="1:33">
      <c r="B54" s="45" t="s">
        <v>57</v>
      </c>
    </row>
    <row r="55" spans="1:33">
      <c r="B55" s="1" t="s">
        <v>87</v>
      </c>
      <c r="Q55" s="65"/>
      <c r="R55" s="68"/>
      <c r="S55" s="68"/>
      <c r="T55" s="68"/>
      <c r="U55" s="68"/>
      <c r="V55" s="68"/>
      <c r="W55" s="68"/>
      <c r="X55" s="60"/>
    </row>
    <row r="56" spans="1:33" ht="45" customHeight="1"/>
  </sheetData>
  <mergeCells count="42">
    <mergeCell ref="A2:AD2"/>
    <mergeCell ref="O4:O5"/>
    <mergeCell ref="P4:P5"/>
    <mergeCell ref="A1:AD1"/>
    <mergeCell ref="Y3:Y5"/>
    <mergeCell ref="AB3:AB5"/>
    <mergeCell ref="E3:G3"/>
    <mergeCell ref="H3:L3"/>
    <mergeCell ref="I4:I5"/>
    <mergeCell ref="J4:J5"/>
    <mergeCell ref="L4:L5"/>
    <mergeCell ref="Q4:Q5"/>
    <mergeCell ref="AD3:AD5"/>
    <mergeCell ref="N4:N5"/>
    <mergeCell ref="D4:D5"/>
    <mergeCell ref="E4:G4"/>
    <mergeCell ref="C3:D3"/>
    <mergeCell ref="H4:H5"/>
    <mergeCell ref="C4:C5"/>
    <mergeCell ref="A51:B51"/>
    <mergeCell ref="A21:A26"/>
    <mergeCell ref="A27:A41"/>
    <mergeCell ref="B3:B5"/>
    <mergeCell ref="A6:A13"/>
    <mergeCell ref="A14:A20"/>
    <mergeCell ref="A3:A5"/>
    <mergeCell ref="A42:A50"/>
    <mergeCell ref="Z3:Z5"/>
    <mergeCell ref="AA3:AA5"/>
    <mergeCell ref="AC3:AC5"/>
    <mergeCell ref="Z6:AA12"/>
    <mergeCell ref="K4:K5"/>
    <mergeCell ref="M4:M5"/>
    <mergeCell ref="P6:P12"/>
    <mergeCell ref="S3:W3"/>
    <mergeCell ref="S4:S5"/>
    <mergeCell ref="T4:T5"/>
    <mergeCell ref="U4:U5"/>
    <mergeCell ref="V4:V5"/>
    <mergeCell ref="W4:W5"/>
    <mergeCell ref="M3:R3"/>
    <mergeCell ref="R4:R5"/>
  </mergeCells>
  <pageMargins left="0.17" right="0.17" top="0.17" bottom="0.17" header="0.17" footer="0.17"/>
  <pageSetup paperSize="8" scale="53" orientation="landscape" r:id="rId1"/>
  <ignoredErrors>
    <ignoredError sqref="AD10:AD12 J10 Z17 J17 P17 V10 V17" formulaRange="1"/>
    <ignoredError sqref="AC10:AC12 AC14:AC19" formula="1" formulaRange="1"/>
    <ignoredError sqref="AA27:AB27 AB10 AA32:AB32 AA17:AB17 W17:X17 W27:X27 W32:X32 Y14 Y21 K32:L32 K27:L27 K17:L17 K10:L10 L13:L14 Y17 Y32 W10:Y10 Y27 AA14 AA21 AA41 L20 L41 Q10:R10 Q32:R32 Q27:R27 Q17:R17 X30:Y30 R13 R20 K50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2"/>
  <sheetViews>
    <sheetView topLeftCell="A4" zoomScale="80" zoomScaleNormal="80" workbookViewId="0">
      <selection activeCell="A12" sqref="A12"/>
    </sheetView>
  </sheetViews>
  <sheetFormatPr defaultRowHeight="14.4" outlineLevelCol="1"/>
  <cols>
    <col min="1" max="1" width="14.109375" customWidth="1"/>
    <col min="2" max="2" width="34.6640625" hidden="1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hidden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hidden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hidden="1" customWidth="1" collapsed="1"/>
    <col min="42" max="43" width="15.6640625" hidden="1" customWidth="1"/>
    <col min="44" max="44" width="16.88671875" hidden="1" customWidth="1"/>
    <col min="45" max="45" width="34.6640625" customWidth="1"/>
    <col min="46" max="46" width="8.109375" hidden="1" customWidth="1" outlineLevel="1"/>
    <col min="47" max="47" width="12.6640625" hidden="1" customWidth="1" outlineLevel="1"/>
    <col min="48" max="48" width="16.109375" hidden="1" customWidth="1" outlineLevel="1"/>
    <col min="49" max="49" width="14.44140625" hidden="1" customWidth="1" outlineLevel="1"/>
    <col min="50" max="50" width="11.44140625" hidden="1" customWidth="1" outlineLevel="1"/>
    <col min="51" max="51" width="15.6640625" hidden="1" customWidth="1" outlineLevel="1"/>
    <col min="52" max="52" width="8.44140625" hidden="1" customWidth="1" outlineLevel="1"/>
    <col min="53" max="53" width="8.33203125" hidden="1" customWidth="1" outlineLevel="1"/>
    <col min="54" max="54" width="14.44140625" hidden="1" customWidth="1" outlineLevel="1"/>
    <col min="55" max="55" width="8.44140625" hidden="1" customWidth="1" outlineLevel="1"/>
    <col min="56" max="57" width="15.6640625" hidden="1" customWidth="1" outlineLevel="1"/>
    <col min="58" max="58" width="16.109375" bestFit="1" customWidth="1" collapsed="1"/>
    <col min="59" max="59" width="8.109375" hidden="1" customWidth="1" outlineLevel="1"/>
    <col min="60" max="60" width="14.44140625" hidden="1" customWidth="1" outlineLevel="1"/>
    <col min="61" max="61" width="8" hidden="1" customWidth="1" outlineLevel="1"/>
    <col min="62" max="62" width="14.44140625" hidden="1" customWidth="1" outlineLevel="1"/>
    <col min="63" max="63" width="15.6640625" hidden="1" customWidth="1" outlineLevel="1"/>
    <col min="64" max="64" width="14.44140625" hidden="1" customWidth="1" outlineLevel="1"/>
    <col min="65" max="67" width="9.109375" hidden="1" customWidth="1" outlineLevel="1"/>
    <col min="68" max="69" width="11.44140625" hidden="1" customWidth="1" outlineLevel="1"/>
    <col min="70" max="70" width="15.6640625" hidden="1" customWidth="1" outlineLevel="1"/>
    <col min="71" max="71" width="15.6640625" bestFit="1" customWidth="1" collapsed="1"/>
    <col min="72" max="72" width="15.6640625" hidden="1" customWidth="1" outlineLevel="1"/>
    <col min="73" max="73" width="15.44140625" hidden="1" customWidth="1" outlineLevel="1"/>
    <col min="74" max="74" width="12.5546875" hidden="1" customWidth="1" outlineLevel="1"/>
    <col min="75" max="75" width="14.44140625" hidden="1" customWidth="1" outlineLevel="1"/>
    <col min="76" max="76" width="15.6640625" hidden="1" customWidth="1" outlineLevel="1"/>
    <col min="77" max="82" width="14.44140625" hidden="1" customWidth="1" outlineLevel="1"/>
    <col min="83" max="83" width="15" hidden="1" customWidth="1" outlineLevel="1"/>
    <col min="84" max="84" width="15.6640625" bestFit="1" customWidth="1" collapsed="1"/>
    <col min="85" max="86" width="15.6640625" customWidth="1"/>
    <col min="87" max="87" width="16.88671875" bestFit="1" customWidth="1"/>
  </cols>
  <sheetData>
    <row r="1" spans="1:87" ht="27.75" customHeight="1">
      <c r="A1" s="6" t="s">
        <v>112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2" customFormat="1" ht="24.6">
      <c r="A2" s="131" t="s">
        <v>66</v>
      </c>
      <c r="B2" s="77" t="s">
        <v>29</v>
      </c>
      <c r="C2" s="136" t="s">
        <v>36</v>
      </c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8"/>
      <c r="AS2" s="77" t="s">
        <v>90</v>
      </c>
      <c r="AT2" s="136" t="s">
        <v>91</v>
      </c>
      <c r="AU2" s="137"/>
      <c r="AV2" s="137"/>
      <c r="AW2" s="137"/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7"/>
      <c r="CB2" s="137"/>
      <c r="CC2" s="137"/>
      <c r="CD2" s="137"/>
      <c r="CE2" s="137"/>
      <c r="CF2" s="137"/>
      <c r="CG2" s="137"/>
      <c r="CH2" s="137"/>
      <c r="CI2" s="138"/>
    </row>
    <row r="3" spans="1:87" s="42" customFormat="1" ht="34.5" customHeight="1">
      <c r="A3" s="132"/>
      <c r="B3" s="80" t="s">
        <v>52</v>
      </c>
      <c r="C3" s="124" t="s">
        <v>56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6"/>
      <c r="O3" s="134" t="s">
        <v>51</v>
      </c>
      <c r="P3" s="139" t="s">
        <v>50</v>
      </c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1"/>
      <c r="AB3" s="134" t="s">
        <v>59</v>
      </c>
      <c r="AC3" s="139" t="s">
        <v>37</v>
      </c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2" t="s">
        <v>37</v>
      </c>
      <c r="AP3" s="134" t="s">
        <v>60</v>
      </c>
      <c r="AQ3" s="129" t="s">
        <v>61</v>
      </c>
      <c r="AR3" s="129" t="s">
        <v>30</v>
      </c>
      <c r="AS3" s="80" t="s">
        <v>92</v>
      </c>
      <c r="AT3" s="124" t="s">
        <v>56</v>
      </c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6"/>
      <c r="BF3" s="134" t="s">
        <v>51</v>
      </c>
      <c r="BG3" s="139" t="s">
        <v>50</v>
      </c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1"/>
      <c r="BS3" s="134" t="s">
        <v>59</v>
      </c>
      <c r="BT3" s="139" t="s">
        <v>37</v>
      </c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4" t="s">
        <v>37</v>
      </c>
      <c r="CG3" s="134" t="s">
        <v>60</v>
      </c>
      <c r="CH3" s="129" t="s">
        <v>61</v>
      </c>
      <c r="CI3" s="129" t="s">
        <v>30</v>
      </c>
    </row>
    <row r="4" spans="1:87" s="42" customFormat="1" ht="36" customHeight="1">
      <c r="A4" s="133"/>
      <c r="B4" s="82"/>
      <c r="C4" s="79" t="s">
        <v>38</v>
      </c>
      <c r="D4" s="79" t="s">
        <v>39</v>
      </c>
      <c r="E4" s="79" t="s">
        <v>40</v>
      </c>
      <c r="F4" s="79" t="s">
        <v>41</v>
      </c>
      <c r="G4" s="79" t="s">
        <v>42</v>
      </c>
      <c r="H4" s="79" t="s">
        <v>43</v>
      </c>
      <c r="I4" s="79" t="s">
        <v>44</v>
      </c>
      <c r="J4" s="79" t="s">
        <v>45</v>
      </c>
      <c r="K4" s="79" t="s">
        <v>46</v>
      </c>
      <c r="L4" s="79" t="s">
        <v>47</v>
      </c>
      <c r="M4" s="79" t="s">
        <v>48</v>
      </c>
      <c r="N4" s="79" t="s">
        <v>49</v>
      </c>
      <c r="O4" s="135"/>
      <c r="P4" s="79" t="s">
        <v>38</v>
      </c>
      <c r="Q4" s="79" t="s">
        <v>39</v>
      </c>
      <c r="R4" s="79" t="s">
        <v>40</v>
      </c>
      <c r="S4" s="79" t="s">
        <v>41</v>
      </c>
      <c r="T4" s="79" t="s">
        <v>42</v>
      </c>
      <c r="U4" s="79" t="s">
        <v>43</v>
      </c>
      <c r="V4" s="79" t="s">
        <v>44</v>
      </c>
      <c r="W4" s="79" t="s">
        <v>45</v>
      </c>
      <c r="X4" s="79" t="s">
        <v>46</v>
      </c>
      <c r="Y4" s="79" t="s">
        <v>47</v>
      </c>
      <c r="Z4" s="79" t="s">
        <v>48</v>
      </c>
      <c r="AA4" s="79" t="s">
        <v>49</v>
      </c>
      <c r="AB4" s="135"/>
      <c r="AC4" s="79" t="s">
        <v>38</v>
      </c>
      <c r="AD4" s="79" t="s">
        <v>39</v>
      </c>
      <c r="AE4" s="79" t="s">
        <v>40</v>
      </c>
      <c r="AF4" s="79" t="s">
        <v>41</v>
      </c>
      <c r="AG4" s="79" t="s">
        <v>42</v>
      </c>
      <c r="AH4" s="79" t="s">
        <v>43</v>
      </c>
      <c r="AI4" s="79" t="s">
        <v>44</v>
      </c>
      <c r="AJ4" s="79" t="s">
        <v>45</v>
      </c>
      <c r="AK4" s="79" t="s">
        <v>46</v>
      </c>
      <c r="AL4" s="79" t="s">
        <v>47</v>
      </c>
      <c r="AM4" s="79" t="s">
        <v>48</v>
      </c>
      <c r="AN4" s="79" t="s">
        <v>49</v>
      </c>
      <c r="AO4" s="143"/>
      <c r="AP4" s="135"/>
      <c r="AQ4" s="130"/>
      <c r="AR4" s="130"/>
      <c r="AS4" s="82"/>
      <c r="AT4" s="79" t="s">
        <v>99</v>
      </c>
      <c r="AU4" s="79" t="s">
        <v>100</v>
      </c>
      <c r="AV4" s="79" t="s">
        <v>101</v>
      </c>
      <c r="AW4" s="79" t="s">
        <v>102</v>
      </c>
      <c r="AX4" s="79" t="s">
        <v>103</v>
      </c>
      <c r="AY4" s="79" t="s">
        <v>104</v>
      </c>
      <c r="AZ4" s="79" t="s">
        <v>105</v>
      </c>
      <c r="BA4" s="79" t="s">
        <v>106</v>
      </c>
      <c r="BB4" s="79" t="s">
        <v>107</v>
      </c>
      <c r="BC4" s="79" t="s">
        <v>108</v>
      </c>
      <c r="BD4" s="79" t="s">
        <v>109</v>
      </c>
      <c r="BE4" s="78" t="s">
        <v>110</v>
      </c>
      <c r="BF4" s="135"/>
      <c r="BG4" s="79" t="s">
        <v>38</v>
      </c>
      <c r="BH4" s="79" t="s">
        <v>39</v>
      </c>
      <c r="BI4" s="79" t="s">
        <v>40</v>
      </c>
      <c r="BJ4" s="79" t="s">
        <v>41</v>
      </c>
      <c r="BK4" s="79" t="s">
        <v>42</v>
      </c>
      <c r="BL4" s="79" t="s">
        <v>43</v>
      </c>
      <c r="BM4" s="79" t="s">
        <v>44</v>
      </c>
      <c r="BN4" s="79" t="s">
        <v>45</v>
      </c>
      <c r="BO4" s="79" t="s">
        <v>46</v>
      </c>
      <c r="BP4" s="79" t="s">
        <v>47</v>
      </c>
      <c r="BQ4" s="79" t="s">
        <v>48</v>
      </c>
      <c r="BR4" s="79" t="s">
        <v>49</v>
      </c>
      <c r="BS4" s="135"/>
      <c r="BT4" s="79" t="s">
        <v>99</v>
      </c>
      <c r="BU4" s="79" t="s">
        <v>100</v>
      </c>
      <c r="BV4" s="79" t="s">
        <v>101</v>
      </c>
      <c r="BW4" s="79" t="s">
        <v>102</v>
      </c>
      <c r="BX4" s="79" t="s">
        <v>103</v>
      </c>
      <c r="BY4" s="79" t="s">
        <v>104</v>
      </c>
      <c r="BZ4" s="79" t="s">
        <v>105</v>
      </c>
      <c r="CA4" s="79" t="s">
        <v>106</v>
      </c>
      <c r="CB4" s="79" t="s">
        <v>107</v>
      </c>
      <c r="CC4" s="79" t="s">
        <v>108</v>
      </c>
      <c r="CD4" s="79" t="s">
        <v>109</v>
      </c>
      <c r="CE4" s="78" t="s">
        <v>110</v>
      </c>
      <c r="CF4" s="144"/>
      <c r="CG4" s="135"/>
      <c r="CH4" s="130"/>
      <c r="CI4" s="130"/>
    </row>
    <row r="5" spans="1:87" ht="24.6">
      <c r="A5" s="36" t="s">
        <v>31</v>
      </c>
      <c r="B5" s="37">
        <v>22820510</v>
      </c>
      <c r="C5" s="37">
        <v>0</v>
      </c>
      <c r="D5" s="37">
        <v>0</v>
      </c>
      <c r="E5" s="37">
        <v>473994</v>
      </c>
      <c r="F5" s="37"/>
      <c r="G5" s="37"/>
      <c r="H5" s="37"/>
      <c r="I5" s="37"/>
      <c r="J5" s="37"/>
      <c r="K5" s="37">
        <v>0</v>
      </c>
      <c r="L5" s="37"/>
      <c r="M5" s="37"/>
      <c r="N5" s="37"/>
      <c r="O5" s="13">
        <f>SUM(C5:N5)</f>
        <v>473994</v>
      </c>
      <c r="P5" s="37">
        <v>0</v>
      </c>
      <c r="Q5" s="37">
        <v>0</v>
      </c>
      <c r="R5" s="37">
        <v>0</v>
      </c>
      <c r="S5" s="37">
        <v>0</v>
      </c>
      <c r="T5" s="37">
        <v>34534500</v>
      </c>
      <c r="U5" s="37">
        <v>2250000</v>
      </c>
      <c r="V5" s="37"/>
      <c r="W5" s="37"/>
      <c r="X5" s="37"/>
      <c r="Y5" s="37">
        <v>15000</v>
      </c>
      <c r="Z5" s="37"/>
      <c r="AA5" s="13"/>
      <c r="AB5" s="37">
        <f>SUM(P5:AA5)</f>
        <v>36799500</v>
      </c>
      <c r="AC5" s="37">
        <v>0</v>
      </c>
      <c r="AD5" s="37">
        <v>0</v>
      </c>
      <c r="AE5" s="37">
        <v>0</v>
      </c>
      <c r="AF5" s="37">
        <v>0</v>
      </c>
      <c r="AG5" s="37"/>
      <c r="AH5" s="37"/>
      <c r="AI5" s="37">
        <f>472750+450000+32500</f>
        <v>955250</v>
      </c>
      <c r="AJ5" s="37"/>
      <c r="AK5" s="37">
        <f>3044200+250000+720000</f>
        <v>4014200</v>
      </c>
      <c r="AL5" s="37">
        <v>0</v>
      </c>
      <c r="AM5" s="37">
        <v>0</v>
      </c>
      <c r="AN5" s="13">
        <f>990000+550000+25000</f>
        <v>1565000</v>
      </c>
      <c r="AO5" s="37">
        <f>SUM(AC5:AN5)</f>
        <v>6534450</v>
      </c>
      <c r="AP5" s="37">
        <f>157500+4647300+5948527</f>
        <v>10753327</v>
      </c>
      <c r="AQ5" s="37">
        <f>AO5*100/(B5+O5-AB5+AP5)</f>
        <v>-237.47223957532682</v>
      </c>
      <c r="AR5" s="37">
        <f>+B5+O5-AB5-AO5+AP5</f>
        <v>-9286119</v>
      </c>
      <c r="AS5" s="37">
        <v>-9286119</v>
      </c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13">
        <f>SUM(AT5:BE5)</f>
        <v>0</v>
      </c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13"/>
      <c r="BS5" s="37">
        <f>SUM(BG5:BR5)</f>
        <v>0</v>
      </c>
      <c r="BT5" s="37">
        <v>0</v>
      </c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13"/>
      <c r="CF5" s="37">
        <f>SUM(BT5:CE5)</f>
        <v>0</v>
      </c>
      <c r="CG5" s="37">
        <v>225000</v>
      </c>
      <c r="CH5" s="37">
        <f>CF5*100/(AS5+BF5-BS5+CG5)</f>
        <v>0</v>
      </c>
      <c r="CI5" s="37">
        <f>+AS5+BF5-BS5-CF5+CG5</f>
        <v>-9061119</v>
      </c>
    </row>
    <row r="6" spans="1:87" ht="24.6">
      <c r="A6" s="38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8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7">
        <f t="shared" ref="AO6:AO7" si="1">SUM(AC6:AN6)</f>
        <v>47688599</v>
      </c>
      <c r="AP6" s="37">
        <v>10000</v>
      </c>
      <c r="AQ6" s="37">
        <f>AO6*100/(B6+O6-AB6+AP6)</f>
        <v>27.818174393986105</v>
      </c>
      <c r="AR6" s="37">
        <f>+B6+O6-AB6-AO6+AP6</f>
        <v>123741051</v>
      </c>
      <c r="AS6" s="13">
        <v>123741051</v>
      </c>
      <c r="AT6" s="13"/>
      <c r="AU6" s="13"/>
      <c r="AV6" s="13"/>
      <c r="AW6" s="13">
        <f>950000+418000+57000+1368000+50000</f>
        <v>2843000</v>
      </c>
      <c r="AX6" s="13"/>
      <c r="AY6" s="13"/>
      <c r="AZ6" s="13"/>
      <c r="BA6" s="13"/>
      <c r="BB6" s="13"/>
      <c r="BC6" s="13"/>
      <c r="BD6" s="13"/>
      <c r="BE6" s="13"/>
      <c r="BF6" s="13">
        <f>SUM(AT6:BE6)</f>
        <v>2843000</v>
      </c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>
        <f t="shared" ref="BS6:BS7" si="2">SUM(BG6:BR6)</f>
        <v>0</v>
      </c>
      <c r="BT6" s="13">
        <f>2674000-302000</f>
        <v>2372000</v>
      </c>
      <c r="BU6" s="13">
        <v>294000</v>
      </c>
      <c r="BV6" s="13"/>
      <c r="BW6" s="13"/>
      <c r="BX6" s="13">
        <f>207000+18000</f>
        <v>225000</v>
      </c>
      <c r="BY6" s="13"/>
      <c r="BZ6" s="13"/>
      <c r="CA6" s="13"/>
      <c r="CB6" s="13"/>
      <c r="CC6" s="13"/>
      <c r="CD6" s="13"/>
      <c r="CE6" s="13"/>
      <c r="CF6" s="37">
        <f t="shared" ref="CF6:CF7" si="3">SUM(BT6:CE6)</f>
        <v>2891000</v>
      </c>
      <c r="CG6" s="37">
        <v>42500</v>
      </c>
      <c r="CH6" s="37">
        <f>CF6*100/(AS6+BF6-BS6+CG6)</f>
        <v>2.2830914821331585</v>
      </c>
      <c r="CI6" s="37">
        <f>+AS6+BF6-BS6-CF6+CG6</f>
        <v>123735551</v>
      </c>
    </row>
    <row r="7" spans="1:87" ht="24.6">
      <c r="A7" s="38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7">
        <f t="shared" si="1"/>
        <v>7346740</v>
      </c>
      <c r="AP7" s="37"/>
      <c r="AQ7" s="37">
        <f>AO7*100/(B7+O7-AB7+AP7)</f>
        <v>4.6074128640572134</v>
      </c>
      <c r="AR7" s="37">
        <f>+B7+O7-AB7-AO7+AP7</f>
        <v>152108039</v>
      </c>
      <c r="AS7" s="13">
        <v>152108039</v>
      </c>
      <c r="AT7" s="13"/>
      <c r="AU7" s="13"/>
      <c r="AV7" s="13"/>
      <c r="AW7" s="13">
        <f>144140+3609000</f>
        <v>3753140</v>
      </c>
      <c r="AX7" s="13"/>
      <c r="AY7" s="13"/>
      <c r="AZ7" s="13"/>
      <c r="BA7" s="13"/>
      <c r="BB7" s="13"/>
      <c r="BC7" s="13"/>
      <c r="BD7" s="13"/>
      <c r="BE7" s="13"/>
      <c r="BF7" s="13">
        <f>SUM(AT7:BE7)</f>
        <v>3753140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>
        <f>473449+660000+22298500</f>
        <v>23431949</v>
      </c>
      <c r="BV7" s="13">
        <f>42000+105000</f>
        <v>147000</v>
      </c>
      <c r="BW7" s="13"/>
      <c r="BX7" s="13">
        <f>1770000+9681000+1675000+5250000+4824000+15120000+1648000+99250+165000</f>
        <v>40232250</v>
      </c>
      <c r="BY7" s="13"/>
      <c r="BZ7" s="13"/>
      <c r="CA7" s="13"/>
      <c r="CB7" s="13"/>
      <c r="CC7" s="13"/>
      <c r="CD7" s="13"/>
      <c r="CE7" s="13"/>
      <c r="CF7" s="37">
        <f t="shared" si="3"/>
        <v>65213599</v>
      </c>
      <c r="CG7" s="37">
        <v>0</v>
      </c>
      <c r="CH7" s="37">
        <f>CF7*100/(AS7+BF7-BS7+CG7)</f>
        <v>41.84082233844773</v>
      </c>
      <c r="CI7" s="37">
        <f>+AS7+BF7-BS7-CF7+CG7</f>
        <v>90647580</v>
      </c>
    </row>
    <row r="8" spans="1:87" ht="24.6">
      <c r="A8" s="38" t="s">
        <v>8</v>
      </c>
      <c r="B8" s="21">
        <f t="shared" ref="B8:AA8" si="4">SUM(B5:B7)</f>
        <v>221420280</v>
      </c>
      <c r="C8" s="21">
        <f t="shared" si="4"/>
        <v>0</v>
      </c>
      <c r="D8" s="21">
        <f t="shared" si="4"/>
        <v>780100</v>
      </c>
      <c r="E8" s="21">
        <f t="shared" si="4"/>
        <v>1715994</v>
      </c>
      <c r="F8" s="21">
        <f t="shared" si="4"/>
        <v>0</v>
      </c>
      <c r="G8" s="21">
        <f t="shared" si="4"/>
        <v>54000</v>
      </c>
      <c r="H8" s="21">
        <f t="shared" si="4"/>
        <v>1083000</v>
      </c>
      <c r="I8" s="21">
        <f t="shared" si="4"/>
        <v>0</v>
      </c>
      <c r="J8" s="21">
        <f t="shared" si="4"/>
        <v>0</v>
      </c>
      <c r="K8" s="21">
        <f t="shared" si="4"/>
        <v>8086050</v>
      </c>
      <c r="L8" s="21">
        <f t="shared" si="4"/>
        <v>0</v>
      </c>
      <c r="M8" s="21">
        <f t="shared" si="4"/>
        <v>91231300</v>
      </c>
      <c r="N8" s="21">
        <f t="shared" si="4"/>
        <v>55497709</v>
      </c>
      <c r="O8" s="44">
        <f t="shared" si="4"/>
        <v>158448153</v>
      </c>
      <c r="P8" s="44">
        <f t="shared" si="4"/>
        <v>0</v>
      </c>
      <c r="Q8" s="44">
        <f t="shared" si="4"/>
        <v>0</v>
      </c>
      <c r="R8" s="44">
        <f t="shared" si="4"/>
        <v>0</v>
      </c>
      <c r="S8" s="44">
        <f t="shared" si="4"/>
        <v>0</v>
      </c>
      <c r="T8" s="44">
        <f t="shared" si="4"/>
        <v>34534500</v>
      </c>
      <c r="U8" s="44">
        <f t="shared" si="4"/>
        <v>2250000</v>
      </c>
      <c r="V8" s="44">
        <f t="shared" si="4"/>
        <v>0</v>
      </c>
      <c r="W8" s="44">
        <f t="shared" si="4"/>
        <v>0</v>
      </c>
      <c r="X8" s="44">
        <f t="shared" si="4"/>
        <v>0</v>
      </c>
      <c r="Y8" s="44">
        <f t="shared" si="4"/>
        <v>15000</v>
      </c>
      <c r="Z8" s="44">
        <f t="shared" si="4"/>
        <v>10000</v>
      </c>
      <c r="AA8" s="44">
        <f t="shared" si="4"/>
        <v>25689500</v>
      </c>
      <c r="AB8" s="44">
        <f t="shared" si="0"/>
        <v>62499000</v>
      </c>
      <c r="AC8" s="44">
        <f t="shared" ref="AC8:AP8" si="5">SUM(AC5:AC7)</f>
        <v>0</v>
      </c>
      <c r="AD8" s="44">
        <f t="shared" si="5"/>
        <v>2513486</v>
      </c>
      <c r="AE8" s="44">
        <f t="shared" si="5"/>
        <v>0</v>
      </c>
      <c r="AF8" s="44">
        <f t="shared" si="5"/>
        <v>6202183</v>
      </c>
      <c r="AG8" s="44">
        <f t="shared" si="5"/>
        <v>26486080</v>
      </c>
      <c r="AH8" s="44">
        <f t="shared" si="5"/>
        <v>1242000</v>
      </c>
      <c r="AI8" s="44">
        <f t="shared" si="5"/>
        <v>1400000</v>
      </c>
      <c r="AJ8" s="44">
        <f t="shared" si="5"/>
        <v>1137000</v>
      </c>
      <c r="AK8" s="44">
        <f t="shared" si="5"/>
        <v>5235140</v>
      </c>
      <c r="AL8" s="44">
        <f t="shared" si="5"/>
        <v>2671000</v>
      </c>
      <c r="AM8" s="44">
        <f t="shared" si="5"/>
        <v>1572000</v>
      </c>
      <c r="AN8" s="44">
        <f t="shared" si="5"/>
        <v>13110900</v>
      </c>
      <c r="AO8" s="44">
        <f t="shared" si="5"/>
        <v>61569789</v>
      </c>
      <c r="AP8" s="44">
        <f t="shared" si="5"/>
        <v>10763327</v>
      </c>
      <c r="AQ8" s="44">
        <f>AO8*100/(B8+O8-AB8+AP8)</f>
        <v>18.763682419274442</v>
      </c>
      <c r="AR8" s="44">
        <f>+B8+O8-AB8-AO8+AP8</f>
        <v>266562971</v>
      </c>
      <c r="AS8" s="21">
        <f t="shared" ref="AS8:BE8" si="6">SUM(AS5:AS7)</f>
        <v>266562971</v>
      </c>
      <c r="AT8" s="21">
        <f t="shared" si="6"/>
        <v>0</v>
      </c>
      <c r="AU8" s="21">
        <f t="shared" si="6"/>
        <v>0</v>
      </c>
      <c r="AV8" s="21">
        <f t="shared" si="6"/>
        <v>0</v>
      </c>
      <c r="AW8" s="21">
        <f t="shared" si="6"/>
        <v>6596140</v>
      </c>
      <c r="AX8" s="21">
        <f t="shared" si="6"/>
        <v>0</v>
      </c>
      <c r="AY8" s="21">
        <f t="shared" si="6"/>
        <v>0</v>
      </c>
      <c r="AZ8" s="21">
        <f t="shared" si="6"/>
        <v>0</v>
      </c>
      <c r="BA8" s="21">
        <f t="shared" si="6"/>
        <v>0</v>
      </c>
      <c r="BB8" s="21">
        <f t="shared" si="6"/>
        <v>0</v>
      </c>
      <c r="BC8" s="21">
        <f t="shared" si="6"/>
        <v>0</v>
      </c>
      <c r="BD8" s="21">
        <f t="shared" si="6"/>
        <v>0</v>
      </c>
      <c r="BE8" s="21">
        <f t="shared" si="6"/>
        <v>0</v>
      </c>
      <c r="BF8" s="44">
        <f>SUM(BF5:BR7)</f>
        <v>6596140</v>
      </c>
      <c r="BG8" s="44">
        <f t="shared" ref="BG8:CG8" si="7">SUM(BG5:BG7)</f>
        <v>0</v>
      </c>
      <c r="BH8" s="44">
        <f t="shared" si="7"/>
        <v>0</v>
      </c>
      <c r="BI8" s="44">
        <f t="shared" si="7"/>
        <v>0</v>
      </c>
      <c r="BJ8" s="44">
        <f t="shared" si="7"/>
        <v>0</v>
      </c>
      <c r="BK8" s="44">
        <f t="shared" si="7"/>
        <v>0</v>
      </c>
      <c r="BL8" s="44">
        <f t="shared" si="7"/>
        <v>0</v>
      </c>
      <c r="BM8" s="44">
        <f t="shared" si="7"/>
        <v>0</v>
      </c>
      <c r="BN8" s="44">
        <f t="shared" si="7"/>
        <v>0</v>
      </c>
      <c r="BO8" s="44">
        <f t="shared" si="7"/>
        <v>0</v>
      </c>
      <c r="BP8" s="44">
        <f t="shared" si="7"/>
        <v>0</v>
      </c>
      <c r="BQ8" s="44">
        <f t="shared" si="7"/>
        <v>0</v>
      </c>
      <c r="BR8" s="44">
        <f t="shared" si="7"/>
        <v>0</v>
      </c>
      <c r="BS8" s="44">
        <f t="shared" si="7"/>
        <v>0</v>
      </c>
      <c r="BT8" s="44">
        <f t="shared" si="7"/>
        <v>3774400</v>
      </c>
      <c r="BU8" s="44">
        <f t="shared" si="7"/>
        <v>23725949</v>
      </c>
      <c r="BV8" s="44">
        <f t="shared" si="7"/>
        <v>147000</v>
      </c>
      <c r="BW8" s="44">
        <f t="shared" si="7"/>
        <v>0</v>
      </c>
      <c r="BX8" s="44">
        <f t="shared" si="7"/>
        <v>40457250</v>
      </c>
      <c r="BY8" s="44">
        <f t="shared" si="7"/>
        <v>0</v>
      </c>
      <c r="BZ8" s="44">
        <f t="shared" si="7"/>
        <v>0</v>
      </c>
      <c r="CA8" s="44">
        <f t="shared" si="7"/>
        <v>0</v>
      </c>
      <c r="CB8" s="44">
        <f t="shared" si="7"/>
        <v>0</v>
      </c>
      <c r="CC8" s="44">
        <f t="shared" si="7"/>
        <v>0</v>
      </c>
      <c r="CD8" s="44">
        <f t="shared" si="7"/>
        <v>0</v>
      </c>
      <c r="CE8" s="44">
        <f t="shared" si="7"/>
        <v>0</v>
      </c>
      <c r="CF8" s="44">
        <f t="shared" si="7"/>
        <v>68104599</v>
      </c>
      <c r="CG8" s="44">
        <f t="shared" si="7"/>
        <v>267500</v>
      </c>
      <c r="CH8" s="44">
        <f>CF8*100/(AS8+BF8-BS8+CG8)</f>
        <v>24.907816671874706</v>
      </c>
      <c r="CI8" s="44">
        <f>+AS8+BF8-BS8-CF8+CG8</f>
        <v>205322012</v>
      </c>
    </row>
    <row r="9" spans="1:87" ht="24.6">
      <c r="A9" s="3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S9" s="2"/>
      <c r="BT9" s="2"/>
      <c r="BU9" s="2"/>
    </row>
    <row r="10" spans="1:87" ht="24.6">
      <c r="A10" s="40" t="s">
        <v>53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.6">
      <c r="A11" s="69" t="s">
        <v>113</v>
      </c>
      <c r="B11" s="69"/>
      <c r="C11" s="69"/>
      <c r="D11" s="69"/>
      <c r="H11" s="2"/>
      <c r="I11" s="2"/>
      <c r="J11" s="2"/>
      <c r="K11" s="2"/>
      <c r="L11" s="2"/>
      <c r="M11" s="2"/>
      <c r="N11" s="2"/>
      <c r="O11" s="2">
        <f>+AO8</f>
        <v>61569789</v>
      </c>
      <c r="P11" s="43" t="str">
        <f>"("&amp;BAHTTEXT(B11)&amp;")"</f>
        <v>(ศูนย์บาทถ้วน)</v>
      </c>
      <c r="Q11" s="2"/>
      <c r="AB11" s="2" t="s">
        <v>54</v>
      </c>
      <c r="AC11" s="43" t="str">
        <f>"("&amp;BAHTTEXT(O11)&amp;")"</f>
        <v>(หกสิบเอ็ดล้านห้าแสนหกหมื่นเก้าพันเจ็ดร้อยแปดสิบเก้าบาทถ้วน)</v>
      </c>
      <c r="AD11" s="2"/>
      <c r="AO11" s="46">
        <f>+AR8-[1]รายงานสถานะโครงการ!L42</f>
        <v>3549400</v>
      </c>
      <c r="AP11" s="46"/>
      <c r="AQ11" s="46"/>
      <c r="AY11" s="2"/>
      <c r="AZ11" s="2"/>
      <c r="BA11" s="2"/>
      <c r="BB11" s="2"/>
      <c r="BC11" s="2"/>
      <c r="BD11" s="2"/>
      <c r="BE11" s="2"/>
      <c r="BF11" s="2">
        <f>+CF8</f>
        <v>68104599</v>
      </c>
      <c r="BG11" s="43" t="str">
        <f>"("&amp;BAHTTEXT(AS11)&amp;")"</f>
        <v>(ศูนย์บาทถ้วน)</v>
      </c>
      <c r="BH11" s="2"/>
      <c r="BS11" s="2" t="s">
        <v>54</v>
      </c>
      <c r="BT11" s="43" t="str">
        <f>"("&amp;BAHTTEXT(BF11)&amp;")"</f>
        <v>(หกสิบแปดล้านหนึ่งแสนสี่พันห้าร้อยเก้าสิบเก้าบาทถ้วน)</v>
      </c>
      <c r="BU11" s="2"/>
      <c r="CF11" s="46"/>
      <c r="CG11" s="46"/>
      <c r="CH11" s="46"/>
    </row>
    <row r="12" spans="1:87" ht="24.6">
      <c r="A12" s="69" t="s">
        <v>55</v>
      </c>
      <c r="B12" s="69"/>
      <c r="C12" s="69"/>
      <c r="D12" s="69"/>
      <c r="H12" s="2"/>
      <c r="I12" s="2"/>
      <c r="J12" s="2"/>
      <c r="K12" s="2"/>
      <c r="L12" s="2"/>
      <c r="M12" s="2"/>
      <c r="N12" s="2"/>
      <c r="O12" s="2">
        <f>+AR8</f>
        <v>266562971</v>
      </c>
      <c r="P12" s="43" t="str">
        <f>"("&amp;BAHTTEXT(B12)&amp;")"</f>
        <v>(ศูนย์บาทถ้วน)</v>
      </c>
      <c r="Q12" s="2"/>
      <c r="AB12" s="2" t="s">
        <v>54</v>
      </c>
      <c r="AC12" s="43" t="str">
        <f>"("&amp;BAHTTEXT(O12)&amp;")"</f>
        <v>(สองร้อยหกสิบหกล้านห้าแสนหกหมื่นสองพันเก้าร้อยเจ็ดสิบเอ็ดบาทถ้วน)</v>
      </c>
      <c r="AD12" s="2"/>
      <c r="AY12" s="2"/>
      <c r="AZ12" s="2"/>
      <c r="BA12" s="2"/>
      <c r="BB12" s="2"/>
      <c r="BC12" s="2"/>
      <c r="BD12" s="2"/>
      <c r="BE12" s="2"/>
      <c r="BF12" s="2">
        <f>+CI8</f>
        <v>205322012</v>
      </c>
      <c r="BG12" s="43" t="str">
        <f>"("&amp;BAHTTEXT(AS12)&amp;")"</f>
        <v>(ศูนย์บาทถ้วน)</v>
      </c>
      <c r="BH12" s="2"/>
      <c r="BS12" s="2" t="s">
        <v>54</v>
      </c>
      <c r="BT12" s="43" t="str">
        <f>"("&amp;BAHTTEXT(BF12)&amp;")"</f>
        <v>(สองร้อยห้าล้านสามแสนสองหมื่นสองพันสิบสองบาทถ้วน)</v>
      </c>
      <c r="BU12" s="2"/>
    </row>
    <row r="13" spans="1:87" ht="24.6">
      <c r="A13" s="3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S13" s="2"/>
      <c r="BT13" s="2"/>
      <c r="BU13" s="2"/>
    </row>
    <row r="14" spans="1:87" ht="24.6">
      <c r="A14" s="40" t="s">
        <v>32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T14" s="46"/>
      <c r="AB14" s="41"/>
      <c r="AC14" s="41"/>
      <c r="AD14" s="41"/>
      <c r="AG14" s="46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K14" s="46"/>
      <c r="BS14" s="41"/>
      <c r="BT14" s="41"/>
      <c r="BU14" s="41"/>
      <c r="BX14" s="46"/>
    </row>
    <row r="15" spans="1:87" ht="24.6">
      <c r="A15" s="40" t="s">
        <v>111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AB15" s="41"/>
      <c r="AC15" s="41"/>
      <c r="AD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S15" s="41"/>
      <c r="BT15" s="41"/>
      <c r="BU15" s="41"/>
    </row>
    <row r="16" spans="1:87" ht="24.6">
      <c r="A16" s="40" t="s">
        <v>93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AB16" s="41"/>
      <c r="AC16" s="41"/>
      <c r="AD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S16" s="41"/>
      <c r="BT16" s="41"/>
      <c r="BU16" s="41"/>
    </row>
    <row r="17" spans="1:73" ht="24.6">
      <c r="A17" s="35" t="s">
        <v>33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AB17" s="41"/>
      <c r="AC17" s="41"/>
      <c r="AD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S17" s="41"/>
      <c r="BT17" s="41"/>
      <c r="BU17" s="41"/>
    </row>
    <row r="18" spans="1:73" ht="24.6">
      <c r="A18" s="35" t="s">
        <v>34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AB18" s="41"/>
      <c r="AC18" s="41"/>
      <c r="AD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S18" s="41"/>
      <c r="BT18" s="41"/>
      <c r="BU18" s="41"/>
    </row>
    <row r="19" spans="1:73" ht="24.6">
      <c r="A19" s="40" t="s">
        <v>94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AB19" s="41"/>
      <c r="AC19" s="41"/>
      <c r="AD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S19" s="41"/>
      <c r="BT19" s="41"/>
      <c r="BU19" s="41"/>
    </row>
    <row r="20" spans="1:73" ht="24.6">
      <c r="A20" s="35" t="s">
        <v>35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AB20" s="41"/>
      <c r="AC20" s="41"/>
      <c r="AD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S20" s="41"/>
      <c r="BT20" s="41"/>
      <c r="BU20" s="41"/>
    </row>
    <row r="21" spans="1:73" ht="24.6">
      <c r="A21" s="35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AB21" s="41"/>
      <c r="AC21" s="41"/>
      <c r="AD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S21" s="41"/>
      <c r="BT21" s="41"/>
      <c r="BU21" s="41"/>
    </row>
    <row r="22" spans="1:73" ht="24.6">
      <c r="A22" s="35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AB22" s="41"/>
      <c r="AC22" s="41"/>
      <c r="AD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S22" s="41"/>
      <c r="BT22" s="41"/>
      <c r="BU22" s="41"/>
    </row>
  </sheetData>
  <dataConsolidate/>
  <mergeCells count="23"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35" right="0.2" top="0.55000000000000004" bottom="0.75" header="0.3" footer="0.3"/>
  <pageSetup paperSize="9" scale="91" orientation="landscape" r:id="rId1"/>
  <ignoredErrors>
    <ignoredError sqref="BF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2020-02-26T03:13:27Z</cp:lastPrinted>
  <dcterms:created xsi:type="dcterms:W3CDTF">2018-05-02T12:11:23Z</dcterms:created>
  <dcterms:modified xsi:type="dcterms:W3CDTF">2020-03-02T04:41:06Z</dcterms:modified>
</cp:coreProperties>
</file>